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tconnolly\Desktop\results for 2018\Parts for Posting\"/>
    </mc:Choice>
  </mc:AlternateContent>
  <xr:revisionPtr revIDLastSave="0" documentId="8_{D770445C-8DFD-4445-A19A-AF32635B5A76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1st AD" sheetId="5" r:id="rId1"/>
    <sheet name="2nd AD" sheetId="359" r:id="rId2"/>
    <sheet name="3rd AD" sheetId="360" r:id="rId3"/>
    <sheet name="4th AD" sheetId="361" r:id="rId4"/>
    <sheet name="5th AD" sheetId="362" r:id="rId5"/>
    <sheet name="6th AD" sheetId="363" r:id="rId6"/>
    <sheet name="7th AD" sheetId="364" r:id="rId7"/>
    <sheet name="8th AD" sheetId="365" r:id="rId8"/>
    <sheet name="9th AD" sheetId="366" r:id="rId9"/>
    <sheet name="10th AD" sheetId="367" r:id="rId10"/>
    <sheet name="11th AD" sheetId="368" r:id="rId11"/>
    <sheet name="12th AD" sheetId="369" r:id="rId12"/>
    <sheet name="13th AD" sheetId="370" r:id="rId13"/>
    <sheet name="14th AD" sheetId="371" r:id="rId14"/>
    <sheet name="15th AD" sheetId="372" r:id="rId15"/>
    <sheet name="16th AD" sheetId="373" r:id="rId16"/>
    <sheet name="17th AD" sheetId="374" r:id="rId17"/>
    <sheet name="18th AD" sheetId="375" r:id="rId18"/>
    <sheet name="19th AD" sheetId="376" r:id="rId19"/>
    <sheet name="20th AD" sheetId="377" r:id="rId20"/>
    <sheet name="21st AD" sheetId="378" r:id="rId21"/>
    <sheet name="22nd AD" sheetId="379" r:id="rId22"/>
    <sheet name="23rd AD" sheetId="380" r:id="rId23"/>
    <sheet name="24th AD" sheetId="381" r:id="rId24"/>
    <sheet name="25th AD" sheetId="382" r:id="rId25"/>
    <sheet name="26th AD" sheetId="383" r:id="rId26"/>
    <sheet name="27th AD" sheetId="384" r:id="rId27"/>
    <sheet name="28th AD" sheetId="385" r:id="rId28"/>
    <sheet name="29th AD" sheetId="386" r:id="rId29"/>
    <sheet name="30th AD" sheetId="387" r:id="rId30"/>
    <sheet name="31st AD" sheetId="388" r:id="rId31"/>
    <sheet name="32nd AD" sheetId="389" r:id="rId32"/>
    <sheet name="33rd AD" sheetId="390" r:id="rId33"/>
    <sheet name="34th AD" sheetId="391" r:id="rId34"/>
    <sheet name="35th AD" sheetId="392" r:id="rId35"/>
    <sheet name="36th AD" sheetId="393" r:id="rId36"/>
    <sheet name="37th AD" sheetId="394" r:id="rId37"/>
    <sheet name="38th AD" sheetId="395" r:id="rId38"/>
    <sheet name="39th AD" sheetId="396" r:id="rId39"/>
    <sheet name="40th AD" sheetId="397" r:id="rId40"/>
    <sheet name="41st AD" sheetId="398" r:id="rId41"/>
    <sheet name="42nd AD" sheetId="399" r:id="rId42"/>
    <sheet name="43rd AD" sheetId="400" r:id="rId43"/>
    <sheet name="44th AD" sheetId="401" r:id="rId44"/>
    <sheet name="45th AD" sheetId="402" r:id="rId45"/>
    <sheet name="46th AD" sheetId="403" r:id="rId46"/>
    <sheet name="47th AD" sheetId="404" r:id="rId47"/>
    <sheet name="48th AD" sheetId="405" r:id="rId48"/>
    <sheet name="49th AD" sheetId="406" r:id="rId49"/>
    <sheet name="50th AD" sheetId="407" r:id="rId50"/>
    <sheet name="51st AD" sheetId="408" r:id="rId51"/>
    <sheet name="52nd AD" sheetId="409" r:id="rId52"/>
    <sheet name="53rd AD" sheetId="410" r:id="rId53"/>
    <sheet name="54th AD" sheetId="411" r:id="rId54"/>
    <sheet name="55th AD" sheetId="412" r:id="rId55"/>
    <sheet name="56th AD" sheetId="413" r:id="rId56"/>
    <sheet name="57th AD" sheetId="414" r:id="rId57"/>
    <sheet name="58th AD" sheetId="415" r:id="rId58"/>
    <sheet name="59th AD" sheetId="416" r:id="rId59"/>
    <sheet name="60th AD" sheetId="417" r:id="rId60"/>
    <sheet name="61st AD" sheetId="418" r:id="rId61"/>
    <sheet name="62nd AD" sheetId="419" r:id="rId62"/>
    <sheet name="63rd AD" sheetId="420" r:id="rId63"/>
    <sheet name="64th AD" sheetId="421" r:id="rId64"/>
    <sheet name="65th AD" sheetId="422" r:id="rId65"/>
    <sheet name="66th AD" sheetId="423" r:id="rId66"/>
    <sheet name="67th AD" sheetId="424" r:id="rId67"/>
    <sheet name="68th AD" sheetId="425" r:id="rId68"/>
    <sheet name="69th AD" sheetId="426" r:id="rId69"/>
    <sheet name="70th AD" sheetId="427" r:id="rId70"/>
    <sheet name="71st AD" sheetId="428" r:id="rId71"/>
    <sheet name="72nd AD" sheetId="429" r:id="rId72"/>
    <sheet name="73rd AD" sheetId="430" r:id="rId73"/>
    <sheet name="74th AD" sheetId="431" r:id="rId74"/>
    <sheet name="75th AD" sheetId="432" r:id="rId75"/>
    <sheet name="76th AD" sheetId="433" r:id="rId76"/>
    <sheet name="77th AD" sheetId="434" r:id="rId77"/>
    <sheet name="78th AD" sheetId="435" r:id="rId78"/>
    <sheet name="79th AD" sheetId="436" r:id="rId79"/>
    <sheet name="80th AD" sheetId="437" r:id="rId80"/>
    <sheet name="81st AD" sheetId="438" r:id="rId81"/>
    <sheet name="82nd AD" sheetId="439" r:id="rId82"/>
    <sheet name="83rd AD" sheetId="440" r:id="rId83"/>
    <sheet name="84th AD" sheetId="441" r:id="rId84"/>
    <sheet name="85th AD" sheetId="442" r:id="rId85"/>
    <sheet name="86th AD" sheetId="443" r:id="rId86"/>
    <sheet name="87th AD" sheetId="444" r:id="rId87"/>
    <sheet name="88th AD" sheetId="445" r:id="rId88"/>
    <sheet name="89th AD" sheetId="446" r:id="rId89"/>
    <sheet name="90th AD" sheetId="447" r:id="rId90"/>
    <sheet name="91st AD" sheetId="448" r:id="rId91"/>
    <sheet name="92nd AD" sheetId="449" r:id="rId92"/>
    <sheet name="93rd AD" sheetId="450" r:id="rId93"/>
    <sheet name="94th AD" sheetId="451" r:id="rId94"/>
    <sheet name="95th AD" sheetId="452" r:id="rId95"/>
    <sheet name="96th AD" sheetId="453" r:id="rId96"/>
    <sheet name="97th AD" sheetId="454" r:id="rId97"/>
    <sheet name="98th AD" sheetId="455" r:id="rId98"/>
    <sheet name="99th AD" sheetId="456" r:id="rId99"/>
    <sheet name="100th AD" sheetId="457" r:id="rId100"/>
    <sheet name="101st AD" sheetId="458" r:id="rId101"/>
    <sheet name="102nd AD" sheetId="459" r:id="rId102"/>
    <sheet name="103rd AD" sheetId="460" r:id="rId103"/>
    <sheet name="104th AD" sheetId="461" r:id="rId104"/>
    <sheet name="105th AD" sheetId="462" r:id="rId105"/>
    <sheet name="106th AD" sheetId="463" r:id="rId106"/>
    <sheet name="107th AD" sheetId="464" r:id="rId107"/>
    <sheet name="108th AD" sheetId="465" r:id="rId108"/>
    <sheet name="109th AD" sheetId="466" r:id="rId109"/>
    <sheet name="110th AD" sheetId="467" r:id="rId110"/>
    <sheet name="111th AD" sheetId="468" r:id="rId111"/>
    <sheet name="112th AD" sheetId="469" r:id="rId112"/>
    <sheet name="113th AD" sheetId="470" r:id="rId113"/>
    <sheet name="114th AD" sheetId="471" r:id="rId114"/>
    <sheet name="115th AD" sheetId="472" r:id="rId115"/>
    <sheet name="116th AD" sheetId="473" r:id="rId116"/>
    <sheet name="117th AD" sheetId="474" r:id="rId117"/>
    <sheet name="118th AD" sheetId="475" r:id="rId118"/>
    <sheet name="119th AD" sheetId="476" r:id="rId119"/>
    <sheet name="120th AD" sheetId="477" r:id="rId120"/>
    <sheet name="121st AD" sheetId="478" r:id="rId121"/>
    <sheet name="122nd AD" sheetId="479" r:id="rId122"/>
    <sheet name="123rd AD" sheetId="480" r:id="rId123"/>
    <sheet name="124th AD" sheetId="481" r:id="rId124"/>
    <sheet name="125th AD" sheetId="482" r:id="rId125"/>
    <sheet name="126th AD" sheetId="483" r:id="rId126"/>
    <sheet name="127th AD" sheetId="484" r:id="rId127"/>
    <sheet name="128th AD" sheetId="485" r:id="rId128"/>
    <sheet name="129th AD" sheetId="486" r:id="rId129"/>
    <sheet name="130th AD" sheetId="487" r:id="rId130"/>
    <sheet name="131st AD" sheetId="488" r:id="rId131"/>
    <sheet name="132nd AD" sheetId="489" r:id="rId132"/>
    <sheet name="133rd AD" sheetId="490" r:id="rId133"/>
    <sheet name="134th AD" sheetId="491" r:id="rId134"/>
    <sheet name="135th AD" sheetId="492" r:id="rId135"/>
    <sheet name="136th AD" sheetId="493" r:id="rId136"/>
    <sheet name="137th AD" sheetId="494" r:id="rId137"/>
    <sheet name="138th AD" sheetId="495" r:id="rId138"/>
    <sheet name="139th AD" sheetId="496" r:id="rId139"/>
    <sheet name="140th AD" sheetId="497" r:id="rId140"/>
    <sheet name="141st AD" sheetId="498" r:id="rId141"/>
    <sheet name="142nd AD" sheetId="499" r:id="rId142"/>
    <sheet name="143rd AD" sheetId="500" r:id="rId143"/>
    <sheet name="144th AD" sheetId="501" r:id="rId144"/>
    <sheet name="145th AD" sheetId="502" r:id="rId145"/>
    <sheet name="146th AD" sheetId="503" r:id="rId146"/>
    <sheet name="147th AD" sheetId="504" r:id="rId147"/>
    <sheet name="148th AD" sheetId="505" r:id="rId148"/>
    <sheet name="149th AD" sheetId="506" r:id="rId149"/>
    <sheet name="150th AD" sheetId="507" r:id="rId150"/>
  </sheets>
  <definedNames>
    <definedName name="_xlnm.Print_Area" localSheetId="0">'1st AD'!$A$1:$O$1468</definedName>
  </definedNames>
  <calcPr calcId="179017"/>
</workbook>
</file>

<file path=xl/calcChain.xml><?xml version="1.0" encoding="utf-8"?>
<calcChain xmlns="http://schemas.openxmlformats.org/spreadsheetml/2006/main">
  <c r="I12" i="459" l="1"/>
  <c r="I10" i="459"/>
  <c r="I8" i="459"/>
  <c r="I6" i="459"/>
  <c r="I4" i="459"/>
  <c r="I3" i="459"/>
  <c r="E9" i="478"/>
  <c r="E7" i="478"/>
  <c r="E6" i="478"/>
  <c r="E4" i="478"/>
  <c r="E3" i="478"/>
  <c r="C3" i="507" l="1"/>
  <c r="C4" i="507"/>
  <c r="C5" i="507"/>
  <c r="C6" i="507"/>
  <c r="C7" i="507"/>
  <c r="C8" i="507"/>
  <c r="C9" i="507"/>
  <c r="C10" i="507"/>
  <c r="C11" i="507"/>
  <c r="C3" i="506"/>
  <c r="C4" i="506"/>
  <c r="D4" i="506" s="1"/>
  <c r="C5" i="506"/>
  <c r="C6" i="506"/>
  <c r="C7" i="506"/>
  <c r="C8" i="506"/>
  <c r="C9" i="506"/>
  <c r="C10" i="506"/>
  <c r="E3" i="505"/>
  <c r="E4" i="505"/>
  <c r="E5" i="505"/>
  <c r="E6" i="505"/>
  <c r="E7" i="505"/>
  <c r="E8" i="505"/>
  <c r="E9" i="505"/>
  <c r="D3" i="504"/>
  <c r="D4" i="504"/>
  <c r="D5" i="504"/>
  <c r="D6" i="504"/>
  <c r="D7" i="504"/>
  <c r="D8" i="504"/>
  <c r="D9" i="504"/>
  <c r="D10" i="504"/>
  <c r="D11" i="504"/>
  <c r="D3" i="503"/>
  <c r="D4" i="503"/>
  <c r="D5" i="503"/>
  <c r="D6" i="503"/>
  <c r="E6" i="503" s="1"/>
  <c r="D7" i="503"/>
  <c r="D8" i="503"/>
  <c r="D9" i="503"/>
  <c r="D10" i="503"/>
  <c r="D11" i="503"/>
  <c r="D12" i="503"/>
  <c r="D13" i="503"/>
  <c r="D3" i="502"/>
  <c r="D4" i="502"/>
  <c r="D5" i="502"/>
  <c r="D6" i="502"/>
  <c r="D7" i="502"/>
  <c r="D8" i="502"/>
  <c r="D9" i="502"/>
  <c r="D10" i="502"/>
  <c r="E3" i="501"/>
  <c r="E4" i="501"/>
  <c r="E5" i="501"/>
  <c r="E6" i="501"/>
  <c r="E7" i="501"/>
  <c r="E8" i="501"/>
  <c r="E9" i="501"/>
  <c r="E10" i="501"/>
  <c r="E11" i="501"/>
  <c r="E12" i="501"/>
  <c r="C3" i="500"/>
  <c r="C4" i="500"/>
  <c r="D4" i="500" s="1"/>
  <c r="C5" i="500"/>
  <c r="C6" i="500"/>
  <c r="C7" i="500"/>
  <c r="C8" i="500"/>
  <c r="C9" i="500"/>
  <c r="C10" i="500"/>
  <c r="C11" i="500"/>
  <c r="C3" i="499"/>
  <c r="C4" i="499"/>
  <c r="C5" i="499"/>
  <c r="C6" i="499"/>
  <c r="C7" i="499"/>
  <c r="D7" i="499" s="1"/>
  <c r="C8" i="499"/>
  <c r="C9" i="499"/>
  <c r="C10" i="499"/>
  <c r="C11" i="499"/>
  <c r="C3" i="498"/>
  <c r="D3" i="498" s="1"/>
  <c r="C4" i="498"/>
  <c r="D4" i="498" s="1"/>
  <c r="C5" i="498"/>
  <c r="C6" i="498"/>
  <c r="C7" i="498"/>
  <c r="C8" i="498"/>
  <c r="D3" i="497"/>
  <c r="D4" i="497"/>
  <c r="E4" i="497" s="1"/>
  <c r="D5" i="497"/>
  <c r="D6" i="497"/>
  <c r="E6" i="497" s="1"/>
  <c r="D7" i="497"/>
  <c r="D8" i="497"/>
  <c r="E8" i="497" s="1"/>
  <c r="D9" i="497"/>
  <c r="D10" i="497"/>
  <c r="D11" i="497"/>
  <c r="E3" i="496"/>
  <c r="E4" i="496"/>
  <c r="E5" i="496"/>
  <c r="E6" i="496"/>
  <c r="E7" i="496"/>
  <c r="F7" i="496" s="1"/>
  <c r="E8" i="496"/>
  <c r="E9" i="496"/>
  <c r="E10" i="496"/>
  <c r="E11" i="496"/>
  <c r="C3" i="495"/>
  <c r="C4" i="495"/>
  <c r="C5" i="495"/>
  <c r="C6" i="495"/>
  <c r="C7" i="495"/>
  <c r="C8" i="495"/>
  <c r="C9" i="495"/>
  <c r="C10" i="495"/>
  <c r="C11" i="495"/>
  <c r="C12" i="495"/>
  <c r="C3" i="494"/>
  <c r="D3" i="494" s="1"/>
  <c r="C4" i="494"/>
  <c r="C5" i="494"/>
  <c r="C6" i="494"/>
  <c r="C7" i="494"/>
  <c r="C3" i="493"/>
  <c r="C4" i="493"/>
  <c r="C5" i="493"/>
  <c r="C6" i="493"/>
  <c r="C7" i="493"/>
  <c r="C8" i="493"/>
  <c r="C9" i="493"/>
  <c r="C10" i="493"/>
  <c r="C3" i="492"/>
  <c r="C4" i="492"/>
  <c r="C5" i="492"/>
  <c r="C6" i="492"/>
  <c r="C7" i="492"/>
  <c r="C8" i="492"/>
  <c r="C9" i="492"/>
  <c r="C10" i="492"/>
  <c r="C11" i="492"/>
  <c r="C12" i="492"/>
  <c r="C3" i="491"/>
  <c r="C4" i="491"/>
  <c r="C5" i="491"/>
  <c r="C6" i="491"/>
  <c r="C7" i="491"/>
  <c r="C8" i="491"/>
  <c r="C9" i="491"/>
  <c r="C10" i="491"/>
  <c r="E3" i="490"/>
  <c r="E4" i="490"/>
  <c r="E5" i="490"/>
  <c r="E6" i="490"/>
  <c r="E7" i="490"/>
  <c r="E8" i="490"/>
  <c r="E9" i="490"/>
  <c r="E10" i="490"/>
  <c r="E11" i="490"/>
  <c r="E12" i="490"/>
  <c r="G3" i="489"/>
  <c r="G4" i="489"/>
  <c r="G5" i="489"/>
  <c r="G6" i="489"/>
  <c r="G7" i="489"/>
  <c r="G8" i="489"/>
  <c r="G9" i="489"/>
  <c r="D3" i="488"/>
  <c r="D4" i="488"/>
  <c r="D5" i="488"/>
  <c r="D6" i="488"/>
  <c r="D7" i="488"/>
  <c r="D8" i="488"/>
  <c r="D9" i="488"/>
  <c r="E3" i="487"/>
  <c r="E4" i="487"/>
  <c r="E5" i="487"/>
  <c r="E6" i="487"/>
  <c r="E7" i="487"/>
  <c r="E8" i="487"/>
  <c r="E9" i="487"/>
  <c r="E10" i="487"/>
  <c r="E11" i="487"/>
  <c r="C3" i="486"/>
  <c r="C4" i="486"/>
  <c r="D4" i="486" s="1"/>
  <c r="C5" i="486"/>
  <c r="C6" i="486"/>
  <c r="C7" i="486"/>
  <c r="C8" i="486"/>
  <c r="C9" i="486"/>
  <c r="C10" i="486"/>
  <c r="C3" i="485"/>
  <c r="C4" i="485"/>
  <c r="C5" i="485"/>
  <c r="C6" i="485"/>
  <c r="C7" i="485"/>
  <c r="C8" i="485"/>
  <c r="C9" i="485"/>
  <c r="C10" i="485"/>
  <c r="C3" i="484"/>
  <c r="C4" i="484"/>
  <c r="C5" i="484"/>
  <c r="C6" i="484"/>
  <c r="C7" i="484"/>
  <c r="C8" i="484"/>
  <c r="C9" i="484"/>
  <c r="C10" i="484"/>
  <c r="C11" i="484"/>
  <c r="C12" i="484"/>
  <c r="F3" i="483"/>
  <c r="F4" i="483"/>
  <c r="F5" i="483"/>
  <c r="F6" i="483"/>
  <c r="F7" i="483"/>
  <c r="F8" i="483"/>
  <c r="F9" i="483"/>
  <c r="F10" i="483"/>
  <c r="F11" i="483"/>
  <c r="F12" i="483"/>
  <c r="D3" i="482"/>
  <c r="E3" i="482" s="1"/>
  <c r="D4" i="482"/>
  <c r="D5" i="482"/>
  <c r="D6" i="482"/>
  <c r="D7" i="482"/>
  <c r="E3" i="481"/>
  <c r="E4" i="481"/>
  <c r="E5" i="481"/>
  <c r="E6" i="481"/>
  <c r="E7" i="481"/>
  <c r="E8" i="481"/>
  <c r="E9" i="481"/>
  <c r="E10" i="481"/>
  <c r="C3" i="480"/>
  <c r="D3" i="480" s="1"/>
  <c r="B7" i="480" s="1"/>
  <c r="C4" i="480"/>
  <c r="C5" i="480"/>
  <c r="C6" i="480"/>
  <c r="C7" i="480"/>
  <c r="F3" i="479"/>
  <c r="F4" i="479"/>
  <c r="G4" i="479" s="1"/>
  <c r="F5" i="479"/>
  <c r="F6" i="479"/>
  <c r="F7" i="479"/>
  <c r="F8" i="479"/>
  <c r="F9" i="479"/>
  <c r="F3" i="478"/>
  <c r="E5" i="478"/>
  <c r="E8" i="478"/>
  <c r="E10" i="478"/>
  <c r="E3" i="477"/>
  <c r="E4" i="477"/>
  <c r="E5" i="477"/>
  <c r="E6" i="477"/>
  <c r="E7" i="477"/>
  <c r="E8" i="477"/>
  <c r="E9" i="477"/>
  <c r="E10" i="477"/>
  <c r="E11" i="477"/>
  <c r="E12" i="477"/>
  <c r="D3" i="476"/>
  <c r="D4" i="476"/>
  <c r="D5" i="476"/>
  <c r="D6" i="476"/>
  <c r="D7" i="476"/>
  <c r="D8" i="476"/>
  <c r="D9" i="476"/>
  <c r="D10" i="476"/>
  <c r="G3" i="475"/>
  <c r="G4" i="475"/>
  <c r="G5" i="475"/>
  <c r="G6" i="475"/>
  <c r="G7" i="475"/>
  <c r="G8" i="475"/>
  <c r="G9" i="475"/>
  <c r="G10" i="475"/>
  <c r="F3" i="474"/>
  <c r="F4" i="474"/>
  <c r="F5" i="474"/>
  <c r="F6" i="474"/>
  <c r="F7" i="474"/>
  <c r="F8" i="474"/>
  <c r="F9" i="474"/>
  <c r="D3" i="473"/>
  <c r="D4" i="473"/>
  <c r="D5" i="473"/>
  <c r="D6" i="473"/>
  <c r="D7" i="473"/>
  <c r="D8" i="473"/>
  <c r="D9" i="473"/>
  <c r="D10" i="473"/>
  <c r="D11" i="473"/>
  <c r="E3" i="472"/>
  <c r="E4" i="472"/>
  <c r="E5" i="472"/>
  <c r="E6" i="472"/>
  <c r="E7" i="472"/>
  <c r="E8" i="472"/>
  <c r="E9" i="472"/>
  <c r="F3" i="471"/>
  <c r="F4" i="471"/>
  <c r="F5" i="471"/>
  <c r="G5" i="471" s="1"/>
  <c r="F6" i="471"/>
  <c r="F7" i="471"/>
  <c r="F8" i="471"/>
  <c r="F9" i="471"/>
  <c r="F10" i="471"/>
  <c r="D3" i="470"/>
  <c r="D4" i="470"/>
  <c r="D5" i="470"/>
  <c r="D6" i="470"/>
  <c r="D7" i="470"/>
  <c r="D8" i="470"/>
  <c r="D9" i="470"/>
  <c r="D10" i="470"/>
  <c r="D3" i="469"/>
  <c r="D4" i="469"/>
  <c r="D5" i="469"/>
  <c r="D6" i="469"/>
  <c r="D7" i="469"/>
  <c r="D8" i="469"/>
  <c r="D9" i="469"/>
  <c r="D10" i="469"/>
  <c r="E3" i="468"/>
  <c r="E4" i="468"/>
  <c r="E5" i="468"/>
  <c r="E6" i="468"/>
  <c r="E7" i="468"/>
  <c r="E8" i="468"/>
  <c r="E9" i="468"/>
  <c r="E10" i="468"/>
  <c r="E11" i="468"/>
  <c r="E12" i="468"/>
  <c r="E13" i="468"/>
  <c r="D3" i="467"/>
  <c r="D4" i="467"/>
  <c r="D5" i="467"/>
  <c r="D6" i="467"/>
  <c r="D7" i="467"/>
  <c r="D8" i="467"/>
  <c r="D9" i="467"/>
  <c r="D10" i="467"/>
  <c r="D11" i="467"/>
  <c r="D12" i="467"/>
  <c r="C3" i="466"/>
  <c r="C4" i="466"/>
  <c r="D4" i="466" s="1"/>
  <c r="C5" i="466"/>
  <c r="D5" i="466" s="1"/>
  <c r="C6" i="466"/>
  <c r="C7" i="466"/>
  <c r="C8" i="466"/>
  <c r="C9" i="466"/>
  <c r="C10" i="466"/>
  <c r="E3" i="465"/>
  <c r="E4" i="465"/>
  <c r="E5" i="465"/>
  <c r="E6" i="465"/>
  <c r="E7" i="465"/>
  <c r="E8" i="465"/>
  <c r="E3" i="464"/>
  <c r="E4" i="464"/>
  <c r="E5" i="464"/>
  <c r="E6" i="464"/>
  <c r="E7" i="464"/>
  <c r="E8" i="464"/>
  <c r="E9" i="464"/>
  <c r="E10" i="464"/>
  <c r="E11" i="464"/>
  <c r="E12" i="464"/>
  <c r="E13" i="464"/>
  <c r="D3" i="463"/>
  <c r="D4" i="463"/>
  <c r="D5" i="463"/>
  <c r="D6" i="463"/>
  <c r="D7" i="463"/>
  <c r="D8" i="463"/>
  <c r="D9" i="463"/>
  <c r="D10" i="463"/>
  <c r="D11" i="463"/>
  <c r="D12" i="463"/>
  <c r="C3" i="462"/>
  <c r="C4" i="462"/>
  <c r="C5" i="462"/>
  <c r="C6" i="462"/>
  <c r="C7" i="462"/>
  <c r="C8" i="462"/>
  <c r="C9" i="462"/>
  <c r="C10" i="462"/>
  <c r="C11" i="462"/>
  <c r="C12" i="462"/>
  <c r="E3" i="461"/>
  <c r="F3" i="461" s="1"/>
  <c r="E4" i="461"/>
  <c r="E5" i="461"/>
  <c r="E6" i="461"/>
  <c r="E7" i="461"/>
  <c r="E8" i="461"/>
  <c r="D3" i="460"/>
  <c r="D4" i="460"/>
  <c r="D5" i="460"/>
  <c r="D6" i="460"/>
  <c r="D7" i="460"/>
  <c r="D8" i="460"/>
  <c r="I5" i="459"/>
  <c r="I7" i="459"/>
  <c r="I9" i="459"/>
  <c r="I11" i="459"/>
  <c r="I3" i="458"/>
  <c r="I4" i="458"/>
  <c r="I5" i="458"/>
  <c r="I6" i="458"/>
  <c r="I7" i="458"/>
  <c r="I8" i="458"/>
  <c r="I9" i="458"/>
  <c r="I10" i="458"/>
  <c r="I11" i="458"/>
  <c r="I12" i="458"/>
  <c r="D3" i="457"/>
  <c r="D4" i="457"/>
  <c r="D5" i="457"/>
  <c r="D6" i="457"/>
  <c r="D7" i="457"/>
  <c r="D8" i="457"/>
  <c r="D9" i="457"/>
  <c r="D3" i="456"/>
  <c r="D4" i="456"/>
  <c r="D5" i="456"/>
  <c r="D6" i="456"/>
  <c r="D7" i="456"/>
  <c r="D8" i="456"/>
  <c r="D9" i="456"/>
  <c r="D10" i="456"/>
  <c r="D11" i="456"/>
  <c r="D12" i="456"/>
  <c r="D3" i="455"/>
  <c r="D4" i="455"/>
  <c r="D5" i="455"/>
  <c r="D6" i="455"/>
  <c r="D7" i="455"/>
  <c r="D8" i="455"/>
  <c r="D9" i="455"/>
  <c r="D10" i="455"/>
  <c r="D11" i="455"/>
  <c r="D12" i="455"/>
  <c r="C3" i="454"/>
  <c r="C4" i="454"/>
  <c r="C5" i="454"/>
  <c r="C6" i="454"/>
  <c r="C7" i="454"/>
  <c r="C8" i="454"/>
  <c r="C9" i="454"/>
  <c r="C10" i="454"/>
  <c r="C11" i="454"/>
  <c r="C3" i="453"/>
  <c r="C4" i="453"/>
  <c r="C5" i="453"/>
  <c r="C6" i="453"/>
  <c r="C7" i="453"/>
  <c r="C8" i="453"/>
  <c r="C9" i="453"/>
  <c r="C10" i="453"/>
  <c r="D3" i="452"/>
  <c r="D4" i="452"/>
  <c r="D5" i="452"/>
  <c r="D6" i="452"/>
  <c r="D7" i="452"/>
  <c r="D8" i="452"/>
  <c r="D9" i="452"/>
  <c r="D10" i="452"/>
  <c r="D11" i="452"/>
  <c r="D12" i="452"/>
  <c r="D3" i="451"/>
  <c r="D4" i="451"/>
  <c r="D5" i="451"/>
  <c r="D6" i="451"/>
  <c r="D7" i="451"/>
  <c r="D8" i="451"/>
  <c r="D9" i="451"/>
  <c r="D10" i="451"/>
  <c r="D11" i="451"/>
  <c r="D12" i="451"/>
  <c r="C3" i="450"/>
  <c r="C4" i="450"/>
  <c r="C5" i="450"/>
  <c r="C6" i="450"/>
  <c r="C7" i="450"/>
  <c r="C8" i="450"/>
  <c r="C9" i="450"/>
  <c r="C10" i="450"/>
  <c r="C11" i="450"/>
  <c r="C12" i="450"/>
  <c r="C3" i="449"/>
  <c r="C4" i="449"/>
  <c r="C5" i="449"/>
  <c r="C6" i="449"/>
  <c r="C7" i="449"/>
  <c r="C8" i="449"/>
  <c r="C9" i="449"/>
  <c r="C3" i="448"/>
  <c r="C4" i="448"/>
  <c r="C5" i="448"/>
  <c r="C6" i="448"/>
  <c r="C7" i="448"/>
  <c r="C8" i="448"/>
  <c r="C9" i="448"/>
  <c r="C3" i="447"/>
  <c r="C4" i="447"/>
  <c r="C5" i="447"/>
  <c r="C6" i="447"/>
  <c r="C7" i="447"/>
  <c r="C8" i="447"/>
  <c r="C9" i="447"/>
  <c r="C10" i="447"/>
  <c r="C11" i="447"/>
  <c r="C12" i="447"/>
  <c r="C13" i="447"/>
  <c r="C3" i="446"/>
  <c r="D3" i="446" s="1"/>
  <c r="C4" i="446"/>
  <c r="C5" i="446"/>
  <c r="C6" i="446"/>
  <c r="C7" i="446"/>
  <c r="C3" i="445"/>
  <c r="C4" i="445"/>
  <c r="C5" i="445"/>
  <c r="C6" i="445"/>
  <c r="C7" i="445"/>
  <c r="C8" i="445"/>
  <c r="C9" i="445"/>
  <c r="C3" i="444"/>
  <c r="C4" i="444"/>
  <c r="D4" i="444" s="1"/>
  <c r="C5" i="444"/>
  <c r="D5" i="444" s="1"/>
  <c r="C6" i="444"/>
  <c r="C7" i="444"/>
  <c r="C8" i="444"/>
  <c r="C9" i="444"/>
  <c r="C3" i="443"/>
  <c r="C4" i="443"/>
  <c r="D4" i="443" s="1"/>
  <c r="C5" i="443"/>
  <c r="D5" i="443" s="1"/>
  <c r="C6" i="443"/>
  <c r="C7" i="443"/>
  <c r="C8" i="443"/>
  <c r="C9" i="443"/>
  <c r="D3" i="507" l="1"/>
  <c r="D3" i="444"/>
  <c r="D3" i="499"/>
  <c r="E4" i="452"/>
  <c r="F7" i="490"/>
  <c r="F3" i="487"/>
  <c r="D3" i="449"/>
  <c r="B9" i="449" s="1"/>
  <c r="D4" i="499"/>
  <c r="D3" i="500"/>
  <c r="B11" i="500" s="1"/>
  <c r="D4" i="495"/>
  <c r="D3" i="448"/>
  <c r="B9" i="448" s="1"/>
  <c r="D4" i="454"/>
  <c r="E3" i="455"/>
  <c r="G3" i="479"/>
  <c r="D3" i="445"/>
  <c r="B10" i="445" s="1"/>
  <c r="E4" i="456"/>
  <c r="E3" i="473"/>
  <c r="F3" i="477"/>
  <c r="F3" i="481"/>
  <c r="D4" i="484"/>
  <c r="B8" i="498"/>
  <c r="D3" i="495"/>
  <c r="D3" i="462"/>
  <c r="D3" i="466"/>
  <c r="B11" i="466" s="1"/>
  <c r="E4" i="470"/>
  <c r="E4" i="473"/>
  <c r="G3" i="474"/>
  <c r="H3" i="475"/>
  <c r="E3" i="476"/>
  <c r="F4" i="477"/>
  <c r="G4" i="483"/>
  <c r="D3" i="484"/>
  <c r="B13" i="484" s="1"/>
  <c r="D3" i="486"/>
  <c r="F4" i="487"/>
  <c r="F4" i="490"/>
  <c r="D3" i="443"/>
  <c r="B10" i="443" s="1"/>
  <c r="D3" i="447"/>
  <c r="D3" i="450"/>
  <c r="D3" i="453"/>
  <c r="B10" i="453" s="1"/>
  <c r="J3" i="458"/>
  <c r="J4" i="459"/>
  <c r="F4" i="461"/>
  <c r="E4" i="463"/>
  <c r="E4" i="467"/>
  <c r="G3" i="471"/>
  <c r="F4" i="478"/>
  <c r="D3" i="491"/>
  <c r="B10" i="491" s="1"/>
  <c r="E3" i="497"/>
  <c r="F3" i="505"/>
  <c r="D4" i="507"/>
  <c r="B12" i="507" s="1"/>
  <c r="D3" i="454"/>
  <c r="D3" i="485"/>
  <c r="B10" i="485" s="1"/>
  <c r="D4" i="492"/>
  <c r="D4" i="447"/>
  <c r="D4" i="450"/>
  <c r="E3" i="451"/>
  <c r="E4" i="455"/>
  <c r="J4" i="458"/>
  <c r="D4" i="462"/>
  <c r="F4" i="468"/>
  <c r="D3" i="492"/>
  <c r="B13" i="492" s="1"/>
  <c r="D3" i="493"/>
  <c r="E3" i="504"/>
  <c r="D3" i="506"/>
  <c r="B11" i="506" s="1"/>
  <c r="E3" i="463"/>
  <c r="F3" i="464"/>
  <c r="D8" i="498"/>
  <c r="F3" i="501"/>
  <c r="E3" i="502"/>
  <c r="E4" i="451"/>
  <c r="E3" i="452"/>
  <c r="J3" i="459"/>
  <c r="E4" i="476"/>
  <c r="F4" i="481"/>
  <c r="G3" i="483"/>
  <c r="D5" i="486"/>
  <c r="H3" i="489"/>
  <c r="F3" i="496"/>
  <c r="F3" i="465"/>
  <c r="F3" i="468"/>
  <c r="E3" i="488"/>
  <c r="E4" i="503"/>
  <c r="E3" i="456"/>
  <c r="E3" i="457"/>
  <c r="E3" i="460"/>
  <c r="F4" i="464"/>
  <c r="E3" i="467"/>
  <c r="E3" i="469"/>
  <c r="E3" i="470"/>
  <c r="F3" i="490"/>
  <c r="F4" i="501"/>
  <c r="E3" i="503"/>
  <c r="E4" i="504"/>
  <c r="H4" i="475"/>
  <c r="F3" i="472"/>
  <c r="B7" i="494"/>
  <c r="B7" i="446"/>
  <c r="B10" i="444"/>
  <c r="C3" i="442"/>
  <c r="D3" i="442" s="1"/>
  <c r="C4" i="442"/>
  <c r="D4" i="442" s="1"/>
  <c r="C5" i="442"/>
  <c r="D5" i="442" s="1"/>
  <c r="C6" i="442"/>
  <c r="C7" i="442"/>
  <c r="C8" i="442"/>
  <c r="C9" i="442"/>
  <c r="C3" i="441"/>
  <c r="D3" i="441" s="1"/>
  <c r="C4" i="441"/>
  <c r="D4" i="441" s="1"/>
  <c r="C5" i="441"/>
  <c r="D5" i="441" s="1"/>
  <c r="C6" i="441"/>
  <c r="D6" i="441" s="1"/>
  <c r="C7" i="441"/>
  <c r="C8" i="441"/>
  <c r="C9" i="441"/>
  <c r="C3" i="440"/>
  <c r="D3" i="440" s="1"/>
  <c r="C4" i="440"/>
  <c r="D4" i="440" s="1"/>
  <c r="C5" i="440"/>
  <c r="D5" i="440" s="1"/>
  <c r="C6" i="440"/>
  <c r="C7" i="440"/>
  <c r="C8" i="440"/>
  <c r="C9" i="440"/>
  <c r="C3" i="439"/>
  <c r="D3" i="439" s="1"/>
  <c r="C4" i="439"/>
  <c r="D4" i="439" s="1"/>
  <c r="C5" i="439"/>
  <c r="D5" i="439" s="1"/>
  <c r="C6" i="439"/>
  <c r="C7" i="439"/>
  <c r="C8" i="439"/>
  <c r="C9" i="439"/>
  <c r="C3" i="438"/>
  <c r="C4" i="438"/>
  <c r="C5" i="438"/>
  <c r="C6" i="438"/>
  <c r="C7" i="438"/>
  <c r="C8" i="438"/>
  <c r="C9" i="438"/>
  <c r="C10" i="438"/>
  <c r="C3" i="437"/>
  <c r="D3" i="437" s="1"/>
  <c r="C4" i="437"/>
  <c r="C5" i="437"/>
  <c r="C6" i="437"/>
  <c r="C7" i="437"/>
  <c r="C8" i="437"/>
  <c r="C9" i="437"/>
  <c r="C3" i="436"/>
  <c r="C4" i="436"/>
  <c r="D4" i="436" s="1"/>
  <c r="C5" i="436"/>
  <c r="D5" i="436" s="1"/>
  <c r="C6" i="436"/>
  <c r="C7" i="436"/>
  <c r="C8" i="436"/>
  <c r="C9" i="436"/>
  <c r="C3" i="435"/>
  <c r="D3" i="435" s="1"/>
  <c r="C4" i="435"/>
  <c r="C5" i="435"/>
  <c r="C6" i="435"/>
  <c r="C7" i="435"/>
  <c r="C8" i="435"/>
  <c r="C9" i="435"/>
  <c r="C3" i="434"/>
  <c r="D3" i="434" s="1"/>
  <c r="C4" i="434"/>
  <c r="D4" i="434" s="1"/>
  <c r="C5" i="434"/>
  <c r="D5" i="434" s="1"/>
  <c r="C6" i="434"/>
  <c r="C7" i="434"/>
  <c r="C8" i="434"/>
  <c r="C9" i="434"/>
  <c r="C3" i="433"/>
  <c r="C4" i="433"/>
  <c r="C5" i="433"/>
  <c r="D5" i="433" s="1"/>
  <c r="C6" i="433"/>
  <c r="C7" i="433"/>
  <c r="C8" i="433"/>
  <c r="C9" i="433"/>
  <c r="C3" i="432"/>
  <c r="C4" i="432"/>
  <c r="C5" i="432"/>
  <c r="C6" i="432"/>
  <c r="C7" i="432"/>
  <c r="C8" i="432"/>
  <c r="C9" i="432"/>
  <c r="C3" i="431"/>
  <c r="C4" i="431"/>
  <c r="D4" i="431" s="1"/>
  <c r="C5" i="431"/>
  <c r="C6" i="431"/>
  <c r="D6" i="431" s="1"/>
  <c r="C7" i="431"/>
  <c r="C8" i="431"/>
  <c r="C9" i="431"/>
  <c r="C10" i="431"/>
  <c r="C3" i="430"/>
  <c r="C4" i="430"/>
  <c r="C5" i="430"/>
  <c r="C6" i="430"/>
  <c r="C7" i="430"/>
  <c r="C8" i="430"/>
  <c r="C9" i="430"/>
  <c r="C10" i="430"/>
  <c r="C3" i="429"/>
  <c r="C4" i="429"/>
  <c r="D4" i="429" s="1"/>
  <c r="C5" i="429"/>
  <c r="C6" i="429"/>
  <c r="C7" i="429"/>
  <c r="C8" i="429"/>
  <c r="C3" i="428"/>
  <c r="C4" i="428"/>
  <c r="C5" i="428"/>
  <c r="C6" i="428"/>
  <c r="C7" i="428"/>
  <c r="C3" i="427"/>
  <c r="D3" i="427" s="1"/>
  <c r="B7" i="427" s="1"/>
  <c r="C4" i="427"/>
  <c r="C5" i="427"/>
  <c r="C6" i="427"/>
  <c r="C7" i="427"/>
  <c r="C3" i="426"/>
  <c r="D3" i="426" s="1"/>
  <c r="C4" i="426"/>
  <c r="D4" i="426" s="1"/>
  <c r="C5" i="426"/>
  <c r="C6" i="426"/>
  <c r="C7" i="426"/>
  <c r="C8" i="426"/>
  <c r="C3" i="425"/>
  <c r="D3" i="425" s="1"/>
  <c r="C4" i="425"/>
  <c r="C5" i="425"/>
  <c r="C6" i="425"/>
  <c r="C7" i="425"/>
  <c r="C8" i="425"/>
  <c r="C3" i="424"/>
  <c r="C4" i="424"/>
  <c r="C5" i="424"/>
  <c r="C6" i="424"/>
  <c r="C7" i="424"/>
  <c r="C8" i="424"/>
  <c r="C3" i="423"/>
  <c r="D3" i="423" s="1"/>
  <c r="C4" i="423"/>
  <c r="D4" i="423" s="1"/>
  <c r="C5" i="423"/>
  <c r="C6" i="423"/>
  <c r="C7" i="423"/>
  <c r="C8" i="423"/>
  <c r="C3" i="422"/>
  <c r="C4" i="422"/>
  <c r="C5" i="422"/>
  <c r="C6" i="422"/>
  <c r="C7" i="422"/>
  <c r="C8" i="422"/>
  <c r="D3" i="421"/>
  <c r="E3" i="421" s="1"/>
  <c r="D4" i="421"/>
  <c r="D5" i="421"/>
  <c r="D6" i="421"/>
  <c r="D7" i="421"/>
  <c r="D8" i="421"/>
  <c r="D9" i="421"/>
  <c r="D10" i="421"/>
  <c r="C3" i="420"/>
  <c r="C4" i="420"/>
  <c r="C5" i="420"/>
  <c r="D5" i="420" s="1"/>
  <c r="C6" i="420"/>
  <c r="C7" i="420"/>
  <c r="C8" i="420"/>
  <c r="C9" i="420"/>
  <c r="C10" i="420"/>
  <c r="C3" i="419"/>
  <c r="C4" i="419"/>
  <c r="C5" i="419"/>
  <c r="D5" i="419" s="1"/>
  <c r="C6" i="419"/>
  <c r="C7" i="419"/>
  <c r="C8" i="419"/>
  <c r="C9" i="419"/>
  <c r="C3" i="418"/>
  <c r="C4" i="418"/>
  <c r="D4" i="418" s="1"/>
  <c r="C5" i="418"/>
  <c r="D5" i="418" s="1"/>
  <c r="C6" i="418"/>
  <c r="C7" i="418"/>
  <c r="C8" i="418"/>
  <c r="C9" i="418"/>
  <c r="C3" i="417"/>
  <c r="D3" i="417" s="1"/>
  <c r="C4" i="417"/>
  <c r="D4" i="417" s="1"/>
  <c r="C5" i="417"/>
  <c r="D5" i="417" s="1"/>
  <c r="C6" i="417"/>
  <c r="C7" i="417"/>
  <c r="C8" i="417"/>
  <c r="C9" i="417"/>
  <c r="C3" i="416"/>
  <c r="C4" i="416"/>
  <c r="C5" i="416"/>
  <c r="C6" i="416"/>
  <c r="C7" i="416"/>
  <c r="C8" i="416"/>
  <c r="C9" i="416"/>
  <c r="C3" i="415"/>
  <c r="C4" i="415"/>
  <c r="C5" i="415"/>
  <c r="C6" i="415"/>
  <c r="C7" i="415"/>
  <c r="C8" i="415"/>
  <c r="C3" i="414"/>
  <c r="C4" i="414"/>
  <c r="C5" i="414"/>
  <c r="C6" i="414"/>
  <c r="C7" i="414"/>
  <c r="C8" i="414"/>
  <c r="C3" i="413"/>
  <c r="C4" i="413"/>
  <c r="C5" i="413"/>
  <c r="C6" i="413"/>
  <c r="C7" i="413"/>
  <c r="C8" i="413"/>
  <c r="C3" i="412"/>
  <c r="C4" i="412"/>
  <c r="D4" i="412" s="1"/>
  <c r="C5" i="412"/>
  <c r="C6" i="412"/>
  <c r="C7" i="412"/>
  <c r="C8" i="412"/>
  <c r="C3" i="411"/>
  <c r="D3" i="411" s="1"/>
  <c r="C4" i="411"/>
  <c r="C5" i="411"/>
  <c r="C6" i="411"/>
  <c r="C7" i="411"/>
  <c r="C8" i="411"/>
  <c r="C3" i="410"/>
  <c r="C4" i="410"/>
  <c r="C5" i="410"/>
  <c r="C6" i="410"/>
  <c r="C7" i="410"/>
  <c r="C8" i="410"/>
  <c r="C3" i="409"/>
  <c r="C4" i="409"/>
  <c r="D4" i="409" s="1"/>
  <c r="C5" i="409"/>
  <c r="C6" i="409"/>
  <c r="D6" i="409" s="1"/>
  <c r="C7" i="409"/>
  <c r="C8" i="409"/>
  <c r="C9" i="409"/>
  <c r="C3" i="408"/>
  <c r="D3" i="408" s="1"/>
  <c r="B7" i="408" s="1"/>
  <c r="C4" i="408"/>
  <c r="C5" i="408"/>
  <c r="C6" i="408"/>
  <c r="C7" i="408"/>
  <c r="C3" i="407"/>
  <c r="D3" i="407" s="1"/>
  <c r="C4" i="407"/>
  <c r="C5" i="407"/>
  <c r="C6" i="407"/>
  <c r="C7" i="407"/>
  <c r="C3" i="406"/>
  <c r="C4" i="406"/>
  <c r="D4" i="406" s="1"/>
  <c r="C5" i="406"/>
  <c r="C6" i="406"/>
  <c r="C7" i="406"/>
  <c r="C8" i="406"/>
  <c r="C9" i="406"/>
  <c r="C3" i="405"/>
  <c r="C4" i="405"/>
  <c r="C5" i="405"/>
  <c r="C6" i="405"/>
  <c r="C7" i="405"/>
  <c r="C8" i="405"/>
  <c r="C3" i="404"/>
  <c r="C4" i="404"/>
  <c r="C5" i="404"/>
  <c r="C6" i="404"/>
  <c r="C7" i="404"/>
  <c r="C8" i="404"/>
  <c r="C9" i="404"/>
  <c r="C10" i="404"/>
  <c r="C3" i="403"/>
  <c r="C4" i="403"/>
  <c r="C5" i="403"/>
  <c r="C6" i="403"/>
  <c r="D6" i="403" s="1"/>
  <c r="C7" i="403"/>
  <c r="D7" i="403" s="1"/>
  <c r="C8" i="403"/>
  <c r="C9" i="403"/>
  <c r="C10" i="403"/>
  <c r="C11" i="403"/>
  <c r="C12" i="403"/>
  <c r="C13" i="403"/>
  <c r="C3" i="402"/>
  <c r="C4" i="402"/>
  <c r="C5" i="402"/>
  <c r="C6" i="402"/>
  <c r="C7" i="402"/>
  <c r="C8" i="402"/>
  <c r="C9" i="402"/>
  <c r="C10" i="402"/>
  <c r="C3" i="401"/>
  <c r="C4" i="401"/>
  <c r="C5" i="401"/>
  <c r="C6" i="401"/>
  <c r="C7" i="401"/>
  <c r="C8" i="401"/>
  <c r="C9" i="401"/>
  <c r="C10" i="401"/>
  <c r="C3" i="400"/>
  <c r="C4" i="400"/>
  <c r="C5" i="400"/>
  <c r="C6" i="400"/>
  <c r="C7" i="400"/>
  <c r="C8" i="400"/>
  <c r="C3" i="399"/>
  <c r="C4" i="399"/>
  <c r="C5" i="399"/>
  <c r="C6" i="399"/>
  <c r="D6" i="399" s="1"/>
  <c r="C7" i="399"/>
  <c r="C8" i="399"/>
  <c r="C9" i="399"/>
  <c r="C10" i="399"/>
  <c r="C3" i="398"/>
  <c r="C4" i="398"/>
  <c r="C5" i="398"/>
  <c r="C6" i="398"/>
  <c r="C7" i="398"/>
  <c r="C8" i="398"/>
  <c r="C3" i="397"/>
  <c r="C4" i="397"/>
  <c r="C5" i="397"/>
  <c r="D5" i="397" s="1"/>
  <c r="C6" i="397"/>
  <c r="C7" i="397"/>
  <c r="C8" i="397"/>
  <c r="C9" i="397"/>
  <c r="C3" i="396"/>
  <c r="D3" i="396" s="1"/>
  <c r="C4" i="396"/>
  <c r="C5" i="396"/>
  <c r="C6" i="396"/>
  <c r="D6" i="396" s="1"/>
  <c r="C7" i="396"/>
  <c r="C8" i="396"/>
  <c r="C9" i="396"/>
  <c r="C3" i="395"/>
  <c r="C4" i="395"/>
  <c r="C5" i="395"/>
  <c r="C6" i="395"/>
  <c r="C7" i="395"/>
  <c r="C3" i="394"/>
  <c r="C4" i="394"/>
  <c r="C5" i="394"/>
  <c r="C6" i="394"/>
  <c r="C7" i="394"/>
  <c r="C3" i="393"/>
  <c r="C4" i="393"/>
  <c r="C5" i="393"/>
  <c r="C6" i="393"/>
  <c r="C7" i="393"/>
  <c r="C3" i="392"/>
  <c r="D3" i="392" s="1"/>
  <c r="B7" i="392" s="1"/>
  <c r="C4" i="392"/>
  <c r="C5" i="392"/>
  <c r="C6" i="392"/>
  <c r="C7" i="392"/>
  <c r="C3" i="391"/>
  <c r="D3" i="391" s="1"/>
  <c r="C4" i="391"/>
  <c r="C5" i="391"/>
  <c r="C6" i="391"/>
  <c r="C7" i="391"/>
  <c r="C3" i="390"/>
  <c r="C4" i="390"/>
  <c r="C5" i="390"/>
  <c r="C6" i="390"/>
  <c r="C7" i="390"/>
  <c r="C8" i="390"/>
  <c r="C9" i="390"/>
  <c r="C10" i="390"/>
  <c r="C3" i="389"/>
  <c r="D3" i="389" s="1"/>
  <c r="B7" i="389" s="1"/>
  <c r="C4" i="389"/>
  <c r="C5" i="389"/>
  <c r="C6" i="389"/>
  <c r="C7" i="389"/>
  <c r="C3" i="388"/>
  <c r="C4" i="388"/>
  <c r="C5" i="388"/>
  <c r="C6" i="388"/>
  <c r="C7" i="388"/>
  <c r="C8" i="388"/>
  <c r="C3" i="387"/>
  <c r="D3" i="387" s="1"/>
  <c r="C4" i="387"/>
  <c r="C5" i="387"/>
  <c r="C6" i="387"/>
  <c r="D6" i="387" s="1"/>
  <c r="C7" i="387"/>
  <c r="C8" i="387"/>
  <c r="C9" i="387"/>
  <c r="C10" i="387"/>
  <c r="C3" i="386"/>
  <c r="C4" i="386"/>
  <c r="C5" i="386"/>
  <c r="C6" i="386"/>
  <c r="C7" i="386"/>
  <c r="C8" i="386"/>
  <c r="C3" i="385"/>
  <c r="C4" i="385"/>
  <c r="C5" i="385"/>
  <c r="C6" i="385"/>
  <c r="C7" i="385"/>
  <c r="C8" i="385"/>
  <c r="C9" i="385"/>
  <c r="C10" i="385"/>
  <c r="C3" i="384"/>
  <c r="C4" i="384"/>
  <c r="C5" i="384"/>
  <c r="C6" i="384"/>
  <c r="C7" i="384"/>
  <c r="C8" i="384"/>
  <c r="C3" i="383"/>
  <c r="C4" i="383"/>
  <c r="C5" i="383"/>
  <c r="C6" i="383"/>
  <c r="C7" i="383"/>
  <c r="C8" i="383"/>
  <c r="C9" i="383"/>
  <c r="C10" i="383"/>
  <c r="C11" i="383"/>
  <c r="C12" i="383"/>
  <c r="C3" i="382"/>
  <c r="C4" i="382"/>
  <c r="C5" i="382"/>
  <c r="C6" i="382"/>
  <c r="C7" i="382"/>
  <c r="C8" i="382"/>
  <c r="C3" i="381"/>
  <c r="D3" i="381" s="1"/>
  <c r="C4" i="381"/>
  <c r="C5" i="381"/>
  <c r="C6" i="381"/>
  <c r="C7" i="381"/>
  <c r="C3" i="380"/>
  <c r="C4" i="380"/>
  <c r="D4" i="380" s="1"/>
  <c r="C5" i="380"/>
  <c r="C6" i="380"/>
  <c r="C7" i="380"/>
  <c r="C8" i="380"/>
  <c r="C9" i="380"/>
  <c r="C10" i="380"/>
  <c r="C3" i="379"/>
  <c r="C4" i="379"/>
  <c r="C5" i="379"/>
  <c r="C6" i="379"/>
  <c r="C7" i="379"/>
  <c r="C8" i="379"/>
  <c r="C9" i="379"/>
  <c r="C10" i="379"/>
  <c r="C11" i="379"/>
  <c r="C12" i="379"/>
  <c r="C3" i="378"/>
  <c r="C4" i="378"/>
  <c r="C5" i="378"/>
  <c r="C6" i="378"/>
  <c r="C7" i="378"/>
  <c r="C8" i="378"/>
  <c r="C9" i="378"/>
  <c r="C10" i="378"/>
  <c r="C11" i="378"/>
  <c r="C12" i="378"/>
  <c r="C3" i="377"/>
  <c r="D3" i="377" s="1"/>
  <c r="C4" i="377"/>
  <c r="C5" i="377"/>
  <c r="C6" i="377"/>
  <c r="C7" i="377"/>
  <c r="C8" i="377"/>
  <c r="C9" i="377"/>
  <c r="C10" i="377"/>
  <c r="C11" i="377"/>
  <c r="C12" i="377"/>
  <c r="C3" i="376"/>
  <c r="C4" i="376"/>
  <c r="C5" i="376"/>
  <c r="C6" i="376"/>
  <c r="C7" i="376"/>
  <c r="C8" i="376"/>
  <c r="C9" i="376"/>
  <c r="C10" i="376"/>
  <c r="C11" i="376"/>
  <c r="C12" i="376"/>
  <c r="C3" i="375"/>
  <c r="C4" i="375"/>
  <c r="C5" i="375"/>
  <c r="C6" i="375"/>
  <c r="C7" i="375"/>
  <c r="C8" i="375"/>
  <c r="C9" i="375"/>
  <c r="C10" i="375"/>
  <c r="C11" i="375"/>
  <c r="C12" i="375"/>
  <c r="C3" i="374"/>
  <c r="C4" i="374"/>
  <c r="C5" i="374"/>
  <c r="C6" i="374"/>
  <c r="C7" i="374"/>
  <c r="C8" i="374"/>
  <c r="C9" i="374"/>
  <c r="C10" i="374"/>
  <c r="C11" i="374"/>
  <c r="C12" i="374"/>
  <c r="C13" i="374"/>
  <c r="C3" i="373"/>
  <c r="C4" i="373"/>
  <c r="C5" i="373"/>
  <c r="C6" i="373"/>
  <c r="C7" i="373"/>
  <c r="C8" i="373"/>
  <c r="C9" i="373"/>
  <c r="C10" i="373"/>
  <c r="C11" i="373"/>
  <c r="C12" i="373"/>
  <c r="C13" i="373"/>
  <c r="C3" i="372"/>
  <c r="C4" i="372"/>
  <c r="C5" i="372"/>
  <c r="C6" i="372"/>
  <c r="C7" i="372"/>
  <c r="C8" i="372"/>
  <c r="C9" i="372"/>
  <c r="C10" i="372"/>
  <c r="C11" i="372"/>
  <c r="C12" i="372"/>
  <c r="C13" i="372"/>
  <c r="C3" i="371"/>
  <c r="C4" i="371"/>
  <c r="C5" i="371"/>
  <c r="C6" i="371"/>
  <c r="C7" i="371"/>
  <c r="C8" i="371"/>
  <c r="C9" i="371"/>
  <c r="C10" i="371"/>
  <c r="C11" i="371"/>
  <c r="C12" i="371"/>
  <c r="C13" i="371"/>
  <c r="C3" i="370"/>
  <c r="C4" i="370"/>
  <c r="C5" i="370"/>
  <c r="C6" i="370"/>
  <c r="C7" i="370"/>
  <c r="C8" i="370"/>
  <c r="C9" i="370"/>
  <c r="C10" i="370"/>
  <c r="C11" i="370"/>
  <c r="C3" i="369"/>
  <c r="D3" i="369" s="1"/>
  <c r="C4" i="369"/>
  <c r="C5" i="369"/>
  <c r="C6" i="369"/>
  <c r="C7" i="369"/>
  <c r="C8" i="369"/>
  <c r="C9" i="369"/>
  <c r="C10" i="369"/>
  <c r="C11" i="369"/>
  <c r="C3" i="368"/>
  <c r="C4" i="368"/>
  <c r="C5" i="368"/>
  <c r="C6" i="368"/>
  <c r="C7" i="368"/>
  <c r="C8" i="368"/>
  <c r="C9" i="368"/>
  <c r="C10" i="368"/>
  <c r="C11" i="368"/>
  <c r="C12" i="368"/>
  <c r="C3" i="367"/>
  <c r="C4" i="367"/>
  <c r="C5" i="367"/>
  <c r="C6" i="367"/>
  <c r="C7" i="367"/>
  <c r="C8" i="367"/>
  <c r="C9" i="367"/>
  <c r="C10" i="367"/>
  <c r="C11" i="367"/>
  <c r="C12" i="367"/>
  <c r="D3" i="366"/>
  <c r="D4" i="366"/>
  <c r="D5" i="366"/>
  <c r="D6" i="366"/>
  <c r="D7" i="366"/>
  <c r="D8" i="366"/>
  <c r="D9" i="366"/>
  <c r="D10" i="366"/>
  <c r="D11" i="366"/>
  <c r="D12" i="366"/>
  <c r="C3" i="365"/>
  <c r="D3" i="365" s="1"/>
  <c r="C4" i="365"/>
  <c r="C5" i="365"/>
  <c r="C6" i="365"/>
  <c r="C7" i="365"/>
  <c r="C8" i="365"/>
  <c r="C9" i="365"/>
  <c r="C10" i="365"/>
  <c r="C11" i="365"/>
  <c r="C3" i="364"/>
  <c r="D3" i="364" s="1"/>
  <c r="C4" i="364"/>
  <c r="C5" i="364"/>
  <c r="C6" i="364"/>
  <c r="C7" i="364"/>
  <c r="C8" i="364"/>
  <c r="C9" i="364"/>
  <c r="C10" i="364"/>
  <c r="C11" i="364"/>
  <c r="C3" i="363"/>
  <c r="C4" i="363"/>
  <c r="C5" i="363"/>
  <c r="C6" i="363"/>
  <c r="C7" i="363"/>
  <c r="C8" i="363"/>
  <c r="C9" i="363"/>
  <c r="C10" i="363"/>
  <c r="C11" i="363"/>
  <c r="C3" i="362"/>
  <c r="D3" i="362" s="1"/>
  <c r="C4" i="362"/>
  <c r="C5" i="362"/>
  <c r="C6" i="362"/>
  <c r="C7" i="362"/>
  <c r="C8" i="362"/>
  <c r="C9" i="362"/>
  <c r="C10" i="362"/>
  <c r="C11" i="362"/>
  <c r="C3" i="361"/>
  <c r="C4" i="361"/>
  <c r="C5" i="361"/>
  <c r="C6" i="361"/>
  <c r="C7" i="361"/>
  <c r="C8" i="361"/>
  <c r="C9" i="361"/>
  <c r="C10" i="361"/>
  <c r="C11" i="361"/>
  <c r="C3" i="360"/>
  <c r="D3" i="360" s="1"/>
  <c r="C4" i="360"/>
  <c r="C5" i="360"/>
  <c r="C6" i="360"/>
  <c r="C7" i="360"/>
  <c r="C8" i="360"/>
  <c r="C9" i="360"/>
  <c r="C10" i="360"/>
  <c r="C3" i="359"/>
  <c r="D3" i="359" s="1"/>
  <c r="C4" i="359"/>
  <c r="C5" i="359"/>
  <c r="C6" i="359"/>
  <c r="C7" i="359"/>
  <c r="C8" i="359"/>
  <c r="C9" i="359"/>
  <c r="C10" i="359"/>
  <c r="B13" i="462" l="1"/>
  <c r="D3" i="416"/>
  <c r="D4" i="370"/>
  <c r="D3" i="385"/>
  <c r="D3" i="394"/>
  <c r="B8" i="394" s="1"/>
  <c r="D3" i="405"/>
  <c r="B8" i="405" s="1"/>
  <c r="D3" i="428"/>
  <c r="B8" i="428" s="1"/>
  <c r="D4" i="411"/>
  <c r="B9" i="411" s="1"/>
  <c r="D3" i="438"/>
  <c r="D4" i="385"/>
  <c r="D3" i="403"/>
  <c r="D3" i="412"/>
  <c r="B9" i="412" s="1"/>
  <c r="D3" i="429"/>
  <c r="B9" i="429" s="1"/>
  <c r="D3" i="430"/>
  <c r="B13" i="495"/>
  <c r="D7" i="377"/>
  <c r="B12" i="499"/>
  <c r="D3" i="433"/>
  <c r="B9" i="433" s="1"/>
  <c r="B11" i="486"/>
  <c r="B14" i="447"/>
  <c r="B12" i="454"/>
  <c r="D3" i="370"/>
  <c r="B12" i="370" s="1"/>
  <c r="D4" i="375"/>
  <c r="D3" i="382"/>
  <c r="B9" i="382" s="1"/>
  <c r="D4" i="401"/>
  <c r="D3" i="410"/>
  <c r="B8" i="410" s="1"/>
  <c r="D4" i="359"/>
  <c r="B10" i="359" s="1"/>
  <c r="D4" i="368"/>
  <c r="D4" i="372"/>
  <c r="D3" i="376"/>
  <c r="D4" i="377"/>
  <c r="D3" i="383"/>
  <c r="D3" i="422"/>
  <c r="B8" i="422" s="1"/>
  <c r="D4" i="373"/>
  <c r="D4" i="376"/>
  <c r="D4" i="387"/>
  <c r="B11" i="387" s="1"/>
  <c r="D4" i="403"/>
  <c r="B13" i="450"/>
  <c r="D3" i="419"/>
  <c r="B9" i="419" s="1"/>
  <c r="D3" i="436"/>
  <c r="B10" i="436" s="1"/>
  <c r="D4" i="379"/>
  <c r="D3" i="384"/>
  <c r="B8" i="384" s="1"/>
  <c r="D3" i="388"/>
  <c r="B8" i="388" s="1"/>
  <c r="D3" i="393"/>
  <c r="B8" i="393" s="1"/>
  <c r="D4" i="396"/>
  <c r="B10" i="396" s="1"/>
  <c r="D3" i="397"/>
  <c r="B9" i="397" s="1"/>
  <c r="D4" i="399"/>
  <c r="D3" i="404"/>
  <c r="D4" i="435"/>
  <c r="B9" i="435" s="1"/>
  <c r="D3" i="361"/>
  <c r="E3" i="366"/>
  <c r="D3" i="371"/>
  <c r="D3" i="409"/>
  <c r="B10" i="409" s="1"/>
  <c r="D3" i="367"/>
  <c r="D3" i="374"/>
  <c r="D3" i="379"/>
  <c r="D3" i="380"/>
  <c r="B10" i="380" s="1"/>
  <c r="D3" i="386"/>
  <c r="B8" i="386" s="1"/>
  <c r="D3" i="390"/>
  <c r="D3" i="395"/>
  <c r="B8" i="395" s="1"/>
  <c r="D3" i="398"/>
  <c r="B8" i="398" s="1"/>
  <c r="D3" i="399"/>
  <c r="D3" i="424"/>
  <c r="B8" i="424" s="1"/>
  <c r="D4" i="438"/>
  <c r="D4" i="369"/>
  <c r="B11" i="369" s="1"/>
  <c r="D4" i="371"/>
  <c r="D3" i="373"/>
  <c r="D4" i="390"/>
  <c r="D3" i="400"/>
  <c r="B8" i="400" s="1"/>
  <c r="D3" i="401"/>
  <c r="D4" i="416"/>
  <c r="B10" i="416" s="1"/>
  <c r="D3" i="418"/>
  <c r="B10" i="418" s="1"/>
  <c r="E4" i="421"/>
  <c r="D4" i="425"/>
  <c r="B9" i="425" s="1"/>
  <c r="D4" i="430"/>
  <c r="D3" i="431"/>
  <c r="B10" i="431" s="1"/>
  <c r="D3" i="432"/>
  <c r="B9" i="432" s="1"/>
  <c r="D4" i="437"/>
  <c r="B9" i="437" s="1"/>
  <c r="D4" i="360"/>
  <c r="B11" i="360" s="1"/>
  <c r="D4" i="367"/>
  <c r="D3" i="378"/>
  <c r="D3" i="402"/>
  <c r="B10" i="402" s="1"/>
  <c r="D3" i="413"/>
  <c r="B8" i="413" s="1"/>
  <c r="D3" i="415"/>
  <c r="B8" i="415" s="1"/>
  <c r="D4" i="361"/>
  <c r="D3" i="363"/>
  <c r="B11" i="363" s="1"/>
  <c r="D4" i="364"/>
  <c r="B12" i="364" s="1"/>
  <c r="E4" i="366"/>
  <c r="D3" i="372"/>
  <c r="D4" i="374"/>
  <c r="D4" i="404"/>
  <c r="D3" i="406"/>
  <c r="B10" i="406" s="1"/>
  <c r="B9" i="442"/>
  <c r="D4" i="362"/>
  <c r="B11" i="362" s="1"/>
  <c r="D4" i="365"/>
  <c r="B11" i="365" s="1"/>
  <c r="D3" i="375"/>
  <c r="B12" i="375" s="1"/>
  <c r="D4" i="378"/>
  <c r="D4" i="383"/>
  <c r="D3" i="420"/>
  <c r="B11" i="420" s="1"/>
  <c r="B10" i="441"/>
  <c r="D3" i="368"/>
  <c r="D3" i="414"/>
  <c r="B8" i="414" s="1"/>
  <c r="B9" i="434"/>
  <c r="B10" i="493"/>
  <c r="B9" i="440"/>
  <c r="B9" i="439"/>
  <c r="B8" i="426"/>
  <c r="B8" i="423"/>
  <c r="B9" i="417"/>
  <c r="B7" i="407"/>
  <c r="B7" i="391"/>
  <c r="B7" i="381"/>
  <c r="C3" i="5"/>
  <c r="C4" i="5"/>
  <c r="C5" i="5"/>
  <c r="C6" i="5"/>
  <c r="C7" i="5"/>
  <c r="C8" i="5"/>
  <c r="C9" i="5"/>
  <c r="C10" i="5"/>
  <c r="C11" i="5"/>
  <c r="C12" i="5"/>
  <c r="B11" i="430" l="1"/>
  <c r="B13" i="372"/>
  <c r="B12" i="377"/>
  <c r="B11" i="385"/>
  <c r="B11" i="390"/>
  <c r="B13" i="383"/>
  <c r="B11" i="438"/>
  <c r="B14" i="403"/>
  <c r="B11" i="401"/>
  <c r="B13" i="373"/>
  <c r="B13" i="376"/>
  <c r="B12" i="361"/>
  <c r="B13" i="378"/>
  <c r="B14" i="371"/>
  <c r="B11" i="399"/>
  <c r="B12" i="367"/>
  <c r="B13" i="379"/>
  <c r="B10" i="404"/>
  <c r="B13" i="374"/>
  <c r="B12" i="368"/>
  <c r="D4" i="5"/>
  <c r="D3" i="5"/>
  <c r="B13" i="5" l="1"/>
  <c r="D9" i="505" l="1"/>
  <c r="B9" i="505"/>
  <c r="C11" i="504"/>
  <c r="B11" i="504"/>
  <c r="C14" i="503"/>
  <c r="B14" i="503"/>
  <c r="C10" i="502"/>
  <c r="B10" i="502"/>
  <c r="D13" i="501"/>
  <c r="B13" i="501"/>
  <c r="C12" i="497"/>
  <c r="B12" i="497"/>
  <c r="D11" i="496"/>
  <c r="B11" i="496"/>
  <c r="D13" i="490"/>
  <c r="B13" i="490"/>
  <c r="F10" i="489"/>
  <c r="B10" i="489"/>
  <c r="C9" i="488"/>
  <c r="B9" i="488"/>
  <c r="D12" i="487"/>
  <c r="B12" i="487"/>
  <c r="E13" i="483"/>
  <c r="B13" i="483"/>
  <c r="C7" i="482"/>
  <c r="B7" i="482"/>
  <c r="D11" i="481"/>
  <c r="B11" i="481"/>
  <c r="E9" i="479"/>
  <c r="B9" i="479"/>
  <c r="D10" i="478"/>
  <c r="B10" i="478"/>
  <c r="D13" i="477"/>
  <c r="B13" i="477"/>
  <c r="C11" i="476"/>
  <c r="B11" i="476"/>
  <c r="F11" i="475"/>
  <c r="B11" i="475"/>
  <c r="E9" i="474"/>
  <c r="B9" i="474"/>
  <c r="C12" i="473"/>
  <c r="B12" i="473"/>
  <c r="D9" i="472"/>
  <c r="B9" i="472"/>
  <c r="E10" i="471"/>
  <c r="B10" i="471"/>
  <c r="C11" i="470"/>
  <c r="B11" i="470"/>
  <c r="C10" i="469"/>
  <c r="B10" i="469"/>
  <c r="D14" i="468"/>
  <c r="B14" i="468"/>
  <c r="C13" i="467"/>
  <c r="B13" i="467"/>
  <c r="D8" i="465"/>
  <c r="B8" i="465"/>
  <c r="D14" i="464"/>
  <c r="B14" i="464"/>
  <c r="C13" i="463"/>
  <c r="B13" i="463"/>
  <c r="D9" i="461"/>
  <c r="B9" i="461"/>
  <c r="C8" i="460"/>
  <c r="B8" i="460"/>
  <c r="H13" i="459"/>
  <c r="B13" i="459"/>
  <c r="H13" i="458"/>
  <c r="B13" i="458"/>
  <c r="C9" i="457"/>
  <c r="B9" i="457"/>
  <c r="C13" i="456"/>
  <c r="B13" i="456"/>
  <c r="C13" i="455"/>
  <c r="B13" i="455"/>
  <c r="C12" i="452"/>
  <c r="B12" i="452"/>
  <c r="C13" i="451"/>
  <c r="B13" i="451"/>
  <c r="C11" i="421"/>
  <c r="B11" i="421"/>
  <c r="C13" i="366"/>
  <c r="B13" i="366"/>
</calcChain>
</file>

<file path=xl/sharedStrings.xml><?xml version="1.0" encoding="utf-8"?>
<sst xmlns="http://schemas.openxmlformats.org/spreadsheetml/2006/main" count="2079" uniqueCount="870">
  <si>
    <t>Blank</t>
  </si>
  <si>
    <t>Void</t>
  </si>
  <si>
    <t>Scattering</t>
  </si>
  <si>
    <t>Total Votes by County</t>
  </si>
  <si>
    <t>Total Votes by Candidate</t>
  </si>
  <si>
    <t>Candidate Name (Party)</t>
  </si>
  <si>
    <t>Part of Suffolk County Vote Results</t>
  </si>
  <si>
    <t>Part of Nassau County Vote Results</t>
  </si>
  <si>
    <t>Part of Queens County Vote Results</t>
  </si>
  <si>
    <t>Part of Kings County Vote Results</t>
  </si>
  <si>
    <t>Part of Richmond County Vote Results</t>
  </si>
  <si>
    <t>Part of New York County Vote Results</t>
  </si>
  <si>
    <t>Part of Bronx County Vote Results</t>
  </si>
  <si>
    <t>Part of Westchester County Vote Results</t>
  </si>
  <si>
    <t>Part of Putnam County Vote Results</t>
  </si>
  <si>
    <t>Part of Rockland County Vote Results</t>
  </si>
  <si>
    <t>Part of Orange County Vote Results</t>
  </si>
  <si>
    <t>Part of Sullivan County Vote Results</t>
  </si>
  <si>
    <t>Part of Delaware County Vote Results</t>
  </si>
  <si>
    <t>Part of Herkimer County Vote Results</t>
  </si>
  <si>
    <t>Part of Oneida County Vote Results</t>
  </si>
  <si>
    <t>Part of Otsego County Vote Results</t>
  </si>
  <si>
    <t>Part of Ulster County Vote Results</t>
  </si>
  <si>
    <t>Greene County Vote Results</t>
  </si>
  <si>
    <t>Schoharie County Vote Results</t>
  </si>
  <si>
    <t>Part of Albany County Vote Results</t>
  </si>
  <si>
    <t>Part of Columbia County Vote Results</t>
  </si>
  <si>
    <t>Part of Dutchess County Vote Results</t>
  </si>
  <si>
    <t>Part of Rensselaer County Vote Results</t>
  </si>
  <si>
    <t>Part of Washington County Vote Results</t>
  </si>
  <si>
    <t>Part of Saratoga County Vote Results</t>
  </si>
  <si>
    <t>Part of Schenectady County Vote Results</t>
  </si>
  <si>
    <t>Montgomery County Vote Results</t>
  </si>
  <si>
    <t>Essex County Vote Results</t>
  </si>
  <si>
    <t>Warren County Vote Results</t>
  </si>
  <si>
    <t>Clinton County Vote Results</t>
  </si>
  <si>
    <t>Franklin County Vote Results</t>
  </si>
  <si>
    <t>Part of St. Lawrence County Vote Results</t>
  </si>
  <si>
    <t>Part of Jefferson County Vote Results</t>
  </si>
  <si>
    <t>Lewis County Vote Results</t>
  </si>
  <si>
    <t>Fulton County Vote Results</t>
  </si>
  <si>
    <t>Hamilton County Vote Results</t>
  </si>
  <si>
    <t>Part of Onondaga County Vote Results</t>
  </si>
  <si>
    <t>Part of Oswego County Vote Results</t>
  </si>
  <si>
    <t>Madison County Vote Results</t>
  </si>
  <si>
    <t>Part of Broome County Vote Results</t>
  </si>
  <si>
    <t>Part of Chenango County Vote Results</t>
  </si>
  <si>
    <t>Tioga County Vote Results</t>
  </si>
  <si>
    <t>Part of Chemung County Vote Results</t>
  </si>
  <si>
    <t>Tompkins County Vote Results</t>
  </si>
  <si>
    <t>Part of Cortland County Vote Results</t>
  </si>
  <si>
    <t>Part of Cayuga County Vote Results</t>
  </si>
  <si>
    <t>Wayne County Vote Results</t>
  </si>
  <si>
    <t>Ontario County Vote Results</t>
  </si>
  <si>
    <t>Part of Seneca County Vote Results</t>
  </si>
  <si>
    <t>Schuyler County Vote Results</t>
  </si>
  <si>
    <t>Yates County Vote Results</t>
  </si>
  <si>
    <t>Part of Steuben County Vote Results</t>
  </si>
  <si>
    <t>Livingston County Vote Results</t>
  </si>
  <si>
    <t>Part of Monroe County Vote Results</t>
  </si>
  <si>
    <t>Genesee County Vote Results</t>
  </si>
  <si>
    <t>Part of Orleans County Vote Results</t>
  </si>
  <si>
    <t>Part of Erie County Vote Results</t>
  </si>
  <si>
    <t>Part of Niagara County Vote Results</t>
  </si>
  <si>
    <t>Wyoming County Vote Results</t>
  </si>
  <si>
    <t>Allegany County Vote Results</t>
  </si>
  <si>
    <t>Cattaraugus County Vote Results</t>
  </si>
  <si>
    <t>Chautauqua County Vote Results</t>
  </si>
  <si>
    <t>Member of Assembly 1st Assembly District - General Election - November 6, 2018</t>
  </si>
  <si>
    <t>Fred W. Thiele, Jr. (DEM)</t>
  </si>
  <si>
    <t>Patrick M. O'Connor (REP)</t>
  </si>
  <si>
    <t>Patrick M. O'Connor (CON)</t>
  </si>
  <si>
    <t>Fred W. Thiele, Jr. (WOR)</t>
  </si>
  <si>
    <t>Fred W. Thiele, Jr. (IND)</t>
  </si>
  <si>
    <t>Fred W. Thiele, Jr. (WEP)</t>
  </si>
  <si>
    <t>Fred W. Thiele, Jr. (REF)</t>
  </si>
  <si>
    <t>Member of Assembly 2nd Assembly District - General Election - November 6, 2018</t>
  </si>
  <si>
    <t>Rona Smith (DEM)</t>
  </si>
  <si>
    <t>Anthony H. Palumbo (REP)</t>
  </si>
  <si>
    <t>Anthony H. Palumbo (CON)</t>
  </si>
  <si>
    <t>Anthony H. Palumbo (IND)</t>
  </si>
  <si>
    <t>Member of Assembly 3rd Assembly District - General Election - November 6, 2018</t>
  </si>
  <si>
    <t>Clyde E. Parker (DEM)</t>
  </si>
  <si>
    <t>Joseph P. De Stefano (REP)</t>
  </si>
  <si>
    <t>Joseph P. De Stefano (CON)</t>
  </si>
  <si>
    <t>Joseph P. De Stefano (IND)</t>
  </si>
  <si>
    <t>Joseph P. De Stefano (REF)</t>
  </si>
  <si>
    <t>Member of Assembly 4th Assembly District - General Election - November 6, 2018</t>
  </si>
  <si>
    <t>Steven Englebright (DEM)</t>
  </si>
  <si>
    <t>Christian W. Kalinowski (REP)</t>
  </si>
  <si>
    <t>Christian W. Kalinowski (CON)</t>
  </si>
  <si>
    <t>Steven Englebright (WOR)</t>
  </si>
  <si>
    <t>Steven Englebright (IND)</t>
  </si>
  <si>
    <t>Steven Englebright (WEP)</t>
  </si>
  <si>
    <t>Member of Assembly 5th Assembly District - General Election - November 6, 2018</t>
  </si>
  <si>
    <t>Timothy L. Hall (DEM)</t>
  </si>
  <si>
    <t>Douglas M. Smith (REP)</t>
  </si>
  <si>
    <t>Douglas M. Smith (CON)</t>
  </si>
  <si>
    <t>Douglas M. Smith (IND)</t>
  </si>
  <si>
    <t>Douglas M. Smith (REF)</t>
  </si>
  <si>
    <t>Member of Assembly 6th Assembly District - General Election - November 6, 2018</t>
  </si>
  <si>
    <t>Philip R. Ramos (DEM)</t>
  </si>
  <si>
    <t>Philip R. Ramos (WOR)</t>
  </si>
  <si>
    <t>Philip R. Ramos (IND)</t>
  </si>
  <si>
    <t>Philip R. Ramos (WEP)</t>
  </si>
  <si>
    <t>Philip R. Ramos (REF)</t>
  </si>
  <si>
    <t>Member of Assembly 7th Assembly District - General Election - November 6, 2018</t>
  </si>
  <si>
    <t>Thomas E. Murray, III (DEM)</t>
  </si>
  <si>
    <t>Andrew R. Garbarino (REP)</t>
  </si>
  <si>
    <t>Andrew R. Garbarino (CON)</t>
  </si>
  <si>
    <t>Andrew R. Garbarino (IND)</t>
  </si>
  <si>
    <t>Andrew R. Garbarino (WEP)</t>
  </si>
  <si>
    <t>Andrew R. Garbarino (REF)</t>
  </si>
  <si>
    <t>Member of Assembly 8th Assembly District - General Election - November 6, 2018</t>
  </si>
  <si>
    <t>David J. Morrissey (DEM)</t>
  </si>
  <si>
    <t>Michael J. Fitzpatrick (REP)</t>
  </si>
  <si>
    <t>Michael J. Fitzpatrick (CON)</t>
  </si>
  <si>
    <t>Michael J. Fitzpatrick (IND)</t>
  </si>
  <si>
    <t>Michael J. Fitzpatrick (REF)</t>
  </si>
  <si>
    <t>Member of Assembly 9th Assembly District - General Election - November 6, 2018</t>
  </si>
  <si>
    <t>Christine Pellegrino (DEM)</t>
  </si>
  <si>
    <t>Mike LiPetri (REP)</t>
  </si>
  <si>
    <t>Mike LiPetri (CON)</t>
  </si>
  <si>
    <t>Christine Pellegrino (WOR)</t>
  </si>
  <si>
    <t>Christine Pellegrino (IND)</t>
  </si>
  <si>
    <t>Christine Pellegrino (WEP)</t>
  </si>
  <si>
    <t>Mike LiPetri (REF)</t>
  </si>
  <si>
    <t>Member of Assembly 10th Assembly District - General Election - November 6, 2018</t>
  </si>
  <si>
    <t>Steve Stern (DEM)</t>
  </si>
  <si>
    <t>Jeremy G. Williams (REP)</t>
  </si>
  <si>
    <t>Jeremy G. Williams (CON)</t>
  </si>
  <si>
    <t>Steve Stern (WOR)</t>
  </si>
  <si>
    <t>Steve Stern (IND)</t>
  </si>
  <si>
    <t>Steve Stern (WEP)</t>
  </si>
  <si>
    <t>Member of Assembly 11th Assembly District - General Election - November 6, 2018</t>
  </si>
  <si>
    <t>Kimberly Jean-Pierre (DEM)</t>
  </si>
  <si>
    <t>Kevin V. Sabella (REP)</t>
  </si>
  <si>
    <t>Kevin V. Sabella (CON)</t>
  </si>
  <si>
    <t>Kimberly Jean-Pierre (WOR)</t>
  </si>
  <si>
    <t>Kimberly Jean-Pierre (IND)</t>
  </si>
  <si>
    <t>Kimberly Jean-Pierre (WEP)</t>
  </si>
  <si>
    <t>Member of Assembly 12th Assembly District - General Election - November 6, 2018</t>
  </si>
  <si>
    <t>Avrum J. Rosen (DEM)</t>
  </si>
  <si>
    <t>Andrew P. Raia (REP)</t>
  </si>
  <si>
    <t>Andrew P. Raia (CON)</t>
  </si>
  <si>
    <t>Andrew P. Raia (IND)</t>
  </si>
  <si>
    <t>Andrew P. Raia (REF)</t>
  </si>
  <si>
    <t>Member of Assembly 13th Assembly District - General Election - November 6, 2018</t>
  </si>
  <si>
    <t>Charles D. Lavine (DEM)</t>
  </si>
  <si>
    <t>Andrew A. Monteleone (REP)</t>
  </si>
  <si>
    <t>Andrew A. Monteleone (CON)</t>
  </si>
  <si>
    <t>Charles D. Lavine (WOR)</t>
  </si>
  <si>
    <t>Charles D. Lavine (WEP)</t>
  </si>
  <si>
    <t>Charles D. Lavine (REF)</t>
  </si>
  <si>
    <t>Member of Assembly 14th Assembly District - General Election - November 6, 2018</t>
  </si>
  <si>
    <t>Michael F. Reid (DEM)</t>
  </si>
  <si>
    <t>David G. McDonough (REP)</t>
  </si>
  <si>
    <t>David G. McDonough (CON)</t>
  </si>
  <si>
    <t>Michael F. Reid (WOR)</t>
  </si>
  <si>
    <t>David G. McDonough (IND)</t>
  </si>
  <si>
    <t>Michael F. Reid (WEP)</t>
  </si>
  <si>
    <t>David G. McDonough (REF)</t>
  </si>
  <si>
    <t>David G. McDonough (TRP)</t>
  </si>
  <si>
    <t>Member of Assembly 15th Assembly District - General Election - November 6, 2018</t>
  </si>
  <si>
    <t>Allen F. Foley (DEM)</t>
  </si>
  <si>
    <t>Michael A. Montesano (REP)</t>
  </si>
  <si>
    <t>Michael A. Montesano (CON)</t>
  </si>
  <si>
    <t>Allen F. Foley (WOR)</t>
  </si>
  <si>
    <t>Michael A. Montesano (IND)</t>
  </si>
  <si>
    <t>Allen F. Foley (WEP)</t>
  </si>
  <si>
    <t>Michael A. Montesano (REF)</t>
  </si>
  <si>
    <t>Member of Assembly 16th Assembly District - General Election - November 6, 2018</t>
  </si>
  <si>
    <t>Anthony Durso (DEM)</t>
  </si>
  <si>
    <t>Byron A. Divins, Jr. (REP)</t>
  </si>
  <si>
    <t>Byron A. Divins, Jr. (CON)</t>
  </si>
  <si>
    <t>Anthony Durso (WOR)</t>
  </si>
  <si>
    <t>Anthony Durso (IND)</t>
  </si>
  <si>
    <t>Anthony Durso (WEP)</t>
  </si>
  <si>
    <t>Anthony Durso (REF)</t>
  </si>
  <si>
    <t>Member of Assembly 17th Assembly District - General Election - November 6, 2018</t>
  </si>
  <si>
    <t>Kimberly L. Snow (DEM)</t>
  </si>
  <si>
    <t>John K. Mikulin (REP)</t>
  </si>
  <si>
    <t>John K. Mikulin (CON)</t>
  </si>
  <si>
    <t>John K. Mikulin (IND)</t>
  </si>
  <si>
    <t>Kimberly L. Snow (WEP)</t>
  </si>
  <si>
    <t>John K. Mikulin (REF)</t>
  </si>
  <si>
    <t>John K. Mikulin (TRP)</t>
  </si>
  <si>
    <t>Member of Assembly 18th Assembly District - General Election - November 6, 2018</t>
  </si>
  <si>
    <t>Taylor R. Raynor (DEM)</t>
  </si>
  <si>
    <t>James Lamarre (REP)</t>
  </si>
  <si>
    <t>James Lamarre (CON)</t>
  </si>
  <si>
    <t>Taylor R. Raynor (WOR)</t>
  </si>
  <si>
    <t>Taylor R. Raynor (WEP)</t>
  </si>
  <si>
    <t>Taylor R. Raynor (REF)</t>
  </si>
  <si>
    <t>Member of Assembly 19th Assembly District - General Election - November 6, 2018</t>
  </si>
  <si>
    <t>Billy Carr (DEM)</t>
  </si>
  <si>
    <t>Edward P. Ra (REP)</t>
  </si>
  <si>
    <t>Edward P. Ra (CON)</t>
  </si>
  <si>
    <t>Billy Carr (WOR)</t>
  </si>
  <si>
    <t>Edward P. Ra (IND)</t>
  </si>
  <si>
    <t>Billy Carr (WEP)</t>
  </si>
  <si>
    <t>Edward P. Ra (REF)</t>
  </si>
  <si>
    <t>Member of Assembly 20th Assembly District - General Election - November 6, 2018</t>
  </si>
  <si>
    <t>Juan C. Vides (DEM)</t>
  </si>
  <si>
    <t>Melissa L. Miller (REP)</t>
  </si>
  <si>
    <t>Melissa L. Miller (CON)</t>
  </si>
  <si>
    <t>Melissa L. Miller (IND)</t>
  </si>
  <si>
    <t>Jack Vobis (WEP)</t>
  </si>
  <si>
    <t>Jack Vobis (REF)</t>
  </si>
  <si>
    <t>Member of Assembly 21st Assembly District - General Election - November 6, 2018</t>
  </si>
  <si>
    <t>Judy A. Griffin (DEM)</t>
  </si>
  <si>
    <t>Brian F. Curran (REP)</t>
  </si>
  <si>
    <t>Brian F. Curran (CON)</t>
  </si>
  <si>
    <t>Judy A. Griffin (WOR)</t>
  </si>
  <si>
    <t>Brian F. Curran (IND)</t>
  </si>
  <si>
    <t>Judy A. Griffin (WEP)</t>
  </si>
  <si>
    <t>Judy A. Griffin (REF)</t>
  </si>
  <si>
    <t>Member of Assembly 22nd Assembly District - General Election - November 6, 2018</t>
  </si>
  <si>
    <t>Michaelle C. Solages (DEM)</t>
  </si>
  <si>
    <t>Gonald Moncion (REP)</t>
  </si>
  <si>
    <t>Gonald Moncion (CON)</t>
  </si>
  <si>
    <t>Michaelle C. Solages (WOR)</t>
  </si>
  <si>
    <t>Michaelle C. Solages (IND)</t>
  </si>
  <si>
    <t>Michaelle C. Solages (WEP)</t>
  </si>
  <si>
    <t>Michaelle C. Solages (REF)</t>
  </si>
  <si>
    <t>Member of Assembly 23rd Assembly District - General Election - November 6, 2018</t>
  </si>
  <si>
    <t>Stacey G. Pheffer Amato (DEM)</t>
  </si>
  <si>
    <t>Matthew G. Pecorino (REP)</t>
  </si>
  <si>
    <t>Stacey G. Pheffer Amato (WOR)</t>
  </si>
  <si>
    <t>Stacey G. Pheffer Amato (IND)</t>
  </si>
  <si>
    <t>Member of Assembly 24th Assembly District - General Election - November 6, 2018</t>
  </si>
  <si>
    <t>David I. Weprin (DEM)</t>
  </si>
  <si>
    <t>Member of Assembly 25th Assembly District - General Election - November 6, 2018</t>
  </si>
  <si>
    <t>Nily D. Rozic (DEM)</t>
  </si>
  <si>
    <t>Nily D. Rozic (WOR)</t>
  </si>
  <si>
    <t>Nily D. Rozic (WEP)</t>
  </si>
  <si>
    <t>Member of Assembly 26th Assembly District - General Election - November 6, 2018</t>
  </si>
  <si>
    <t>Edward C. Braunstein (DEM)</t>
  </si>
  <si>
    <t>David L. Bressler (REP)</t>
  </si>
  <si>
    <t>David L. Bressler (CON)</t>
  </si>
  <si>
    <t>Edward C. Braunstein (WOR)</t>
  </si>
  <si>
    <t>Edward C. Braunstein (IND)</t>
  </si>
  <si>
    <t>Edward C. Braunstein (WEP)</t>
  </si>
  <si>
    <t>David L. Bressler (REF)</t>
  </si>
  <si>
    <t>Member of Assembly 27th Assembly District - General Election - November 6, 2018</t>
  </si>
  <si>
    <t>Daniel A. Rosenthal (DEM)</t>
  </si>
  <si>
    <t>Daniel A. Rosenthal (WOR)</t>
  </si>
  <si>
    <t>Member of Assembly 28th Assembly District - General Election - November 6, 2018</t>
  </si>
  <si>
    <t>Andrew D. Hevesi (DEM)</t>
  </si>
  <si>
    <t>Danniel S. Maio (REP)</t>
  </si>
  <si>
    <t>Andrew D. Hevesi (WOR)</t>
  </si>
  <si>
    <t>Danniel S. Maio (REF)</t>
  </si>
  <si>
    <t>Danniel S. Maio (IMW)</t>
  </si>
  <si>
    <t>Member of Assembly 29th Assembly District - General Election - November 6, 2018</t>
  </si>
  <si>
    <t>Alicia L. Hyndman (DEM)</t>
  </si>
  <si>
    <t>Alicia L. Hyndman (WOR)</t>
  </si>
  <si>
    <t>Member of Assembly 30th Assembly District - General Election - November 6, 2018</t>
  </si>
  <si>
    <t>Brian T. Barnwell (DEM)</t>
  </si>
  <si>
    <t>Eric J. Butkiewicz (REP)</t>
  </si>
  <si>
    <t>Opportunity To Ballot (WEP)</t>
  </si>
  <si>
    <t>Eric J. Butkiewicz (CON)</t>
  </si>
  <si>
    <t>Eric J. Butkiewicz (REF)</t>
  </si>
  <si>
    <t>Member of Assembly 31st Assembly District - General Election - November 6, 2018</t>
  </si>
  <si>
    <t>Michele R. Titus (DEM)</t>
  </si>
  <si>
    <t>Michele R. Titus (WOR)</t>
  </si>
  <si>
    <t>Member of Assembly 32nd Assembly District - General Election - November 6, 2018</t>
  </si>
  <si>
    <t>Vivian E. Cook (DEM)</t>
  </si>
  <si>
    <t>Member of Assembly 33rd Assembly District - General Election - November 6, 2018</t>
  </si>
  <si>
    <t>Clyde Vanel (DEM)</t>
  </si>
  <si>
    <t>Lalita L. Etwaroo (REP)</t>
  </si>
  <si>
    <t>Lalita L. Etwaroo (CON)</t>
  </si>
  <si>
    <t>Clyde Vanel (WOR)</t>
  </si>
  <si>
    <t>Lalita L. Etwaroo (REF)</t>
  </si>
  <si>
    <t>Member of Assembly 34th Assembly District - General Election - November 6, 2018</t>
  </si>
  <si>
    <t>Michael G. DenDekker (DEM)</t>
  </si>
  <si>
    <t>Member of Assembly 35th Assembly District - General Election - November 6, 2018</t>
  </si>
  <si>
    <t>Jeffrion L. Aubry (DEM)</t>
  </si>
  <si>
    <t>Member of Assembly 36th Assembly District - General Election - November 6, 2018</t>
  </si>
  <si>
    <t>Aravella Simotas (DEM)</t>
  </si>
  <si>
    <t>Aravella Simotas (WOR)</t>
  </si>
  <si>
    <t>Member of Assembly 37th Assembly District - General Election - November 6, 2018</t>
  </si>
  <si>
    <t>Catherine T. Nolan (DEM)</t>
  </si>
  <si>
    <t>Catherine T. Nolan (WOR)</t>
  </si>
  <si>
    <t>Member of Assembly 38th Assembly District - General Election - November 6, 2018</t>
  </si>
  <si>
    <t>Michael G. Miller (DEM)</t>
  </si>
  <si>
    <t>Michael G. Miller (CON)</t>
  </si>
  <si>
    <t>Member of Assembly 39th Assembly District - General Election - November 6, 2018</t>
  </si>
  <si>
    <t>Catalina Cruz (DEM)</t>
  </si>
  <si>
    <t>Ari Espinal (WOR)</t>
  </si>
  <si>
    <t>Ari Espinal (WEP)</t>
  </si>
  <si>
    <t>Bobby K. Kalotee (REF)</t>
  </si>
  <si>
    <t>Member of Assembly 40th Assembly District - General Election - November 6, 2018</t>
  </si>
  <si>
    <t>Ron Kim (DEM)</t>
  </si>
  <si>
    <t>Ron Kim (WOR)</t>
  </si>
  <si>
    <t>John N. Scandalios (REF)</t>
  </si>
  <si>
    <t>Member of Assembly 41st Assembly District - General Election - November 6, 2018</t>
  </si>
  <si>
    <t>Helene E. Weinstein (DEM)</t>
  </si>
  <si>
    <t>Helene E. Weinstein (WOR)</t>
  </si>
  <si>
    <t>Member of Assembly 42nd Assembly District - General Election - November 6, 2018</t>
  </si>
  <si>
    <t>Rodneyse Bichotte (DEM)</t>
  </si>
  <si>
    <t>Matthew Williams (REP)</t>
  </si>
  <si>
    <t>Anthony Beckford (GRE)</t>
  </si>
  <si>
    <t>Matthew Williams (CON)</t>
  </si>
  <si>
    <t>Rodneyse Bichotte (WOR)</t>
  </si>
  <si>
    <t>Member of Assembly 43rd Assembly District - General Election - November 6, 2018</t>
  </si>
  <si>
    <t>Diana Richardson (DEM)</t>
  </si>
  <si>
    <t>Diana Richardson (WOR)</t>
  </si>
  <si>
    <t>Member of Assembly 44th Assembly District - General Election - November 6, 2018</t>
  </si>
  <si>
    <t>Robert C. Carroll (DEM)</t>
  </si>
  <si>
    <t>Yevgeny G. Goldberg (REP)</t>
  </si>
  <si>
    <t>Yevgeny G. Goldberg (CON)</t>
  </si>
  <si>
    <t>Robert C. Carroll (WOR)</t>
  </si>
  <si>
    <t>Yevgeny G. Goldberg (REF)</t>
  </si>
  <si>
    <t>Member of Assembly 45th Assembly District - General Election - November 6, 2018</t>
  </si>
  <si>
    <t>Steven Cymbrowitz (DEM)</t>
  </si>
  <si>
    <t>Steven Cymbrowitz (WOR)</t>
  </si>
  <si>
    <t>Steven Cymbrowitz (IND)</t>
  </si>
  <si>
    <t>Steven Cymbrowitz (WEP)</t>
  </si>
  <si>
    <t>Member of Assembly 46th Assembly District - General Election - November 6, 2018</t>
  </si>
  <si>
    <t>Mathylde Frontus (DEM)</t>
  </si>
  <si>
    <t>Steven Saperstein (REP)</t>
  </si>
  <si>
    <t>Patrick Dwyer (GRE)</t>
  </si>
  <si>
    <t>Ethan Lustig-Elgrably (WOR)</t>
  </si>
  <si>
    <t>Steven Saperstein (CON)</t>
  </si>
  <si>
    <t>Steven Saperstein (IND)</t>
  </si>
  <si>
    <t>Mathylde Frontus (WEP)</t>
  </si>
  <si>
    <t>Steven Saperstein (REF)</t>
  </si>
  <si>
    <t>Member of Assembly 47th Assembly District - General Election - November 6, 2018</t>
  </si>
  <si>
    <t>William Colton (DEM)</t>
  </si>
  <si>
    <t>Florence A. LaSalle (REP)</t>
  </si>
  <si>
    <t>Florence A. LaSalle (CON)</t>
  </si>
  <si>
    <t>William Colton (WOR)</t>
  </si>
  <si>
    <t>Member of Assembly 48th Assembly District - General Election - November 6, 2018</t>
  </si>
  <si>
    <t>Simcha Eichenstein (DEM)</t>
  </si>
  <si>
    <t>Simcha Eichenstein (CON)</t>
  </si>
  <si>
    <t>Member of Assembly 49th Assembly District - General Election - November 6, 2018</t>
  </si>
  <si>
    <t>Peter J. Abbate, Jr. (DEM)</t>
  </si>
  <si>
    <t>Rosemary Mangino (CON)</t>
  </si>
  <si>
    <t>Peter J. Abbate, Jr. (WOR)</t>
  </si>
  <si>
    <t>Peter J. Abbate, Jr. (IND)</t>
  </si>
  <si>
    <t>Member of Assembly 50th Assembly District - General Election - November 6, 2018</t>
  </si>
  <si>
    <t>Joseph R. Lentol (DEM)</t>
  </si>
  <si>
    <t>Member of Assembly 51st Assembly District - General Election - November 6, 2018</t>
  </si>
  <si>
    <t>Felix W. Ortiz (DEM)</t>
  </si>
  <si>
    <t>Member of Assembly 52nd Assembly District - General Election - November 6, 2018</t>
  </si>
  <si>
    <t>Jo Anna Simon (DEM)</t>
  </si>
  <si>
    <t>Daniel Ramos (CON)</t>
  </si>
  <si>
    <t>Jo Anna Simon (WOR)</t>
  </si>
  <si>
    <t>Gary Popkin (LBT)</t>
  </si>
  <si>
    <t>Member of Assembly 53rd Assembly District - General Election - November 6, 2018</t>
  </si>
  <si>
    <t>Member of Assembly 54th Assembly District - General Election - November 6, 2018</t>
  </si>
  <si>
    <t>Erik Martin Dilan (DEM)</t>
  </si>
  <si>
    <t>Khorshed A. Chowdhury (REP)</t>
  </si>
  <si>
    <t>Khorshed A. Chowdhury (CON)</t>
  </si>
  <si>
    <t>Member of Assembly 55th Assembly District - General Election - November 6, 2018</t>
  </si>
  <si>
    <t>Latrice M. Walker (DEM)</t>
  </si>
  <si>
    <t>Berneda W. Jackson (REP)</t>
  </si>
  <si>
    <t>Latrice M. Walker (WOR)</t>
  </si>
  <si>
    <t>Member of Assembly 56th Assembly District - General Election - November 6, 2018</t>
  </si>
  <si>
    <t>Tremaine S. Wright (DEM)</t>
  </si>
  <si>
    <t>Tremaine S. Wright (WOR)</t>
  </si>
  <si>
    <t>Member of Assembly 57th Assembly District - General Election - November 6, 2018</t>
  </si>
  <si>
    <t>Walter T. Mosley, III (DEM)</t>
  </si>
  <si>
    <t>Walter T. Mosley, III (WOR)</t>
  </si>
  <si>
    <t>Member of Assembly 58th Assembly District - General Election - November 6, 2018</t>
  </si>
  <si>
    <t>N. Nick Perry (DEM)</t>
  </si>
  <si>
    <t>N. Nick Perry (WOR)</t>
  </si>
  <si>
    <t>Member of Assembly 59th Assembly District - General Election - November 6, 2018</t>
  </si>
  <si>
    <t>Jaime R. Williams (DEM)</t>
  </si>
  <si>
    <t>Brandon S. Washington (REP)</t>
  </si>
  <si>
    <t>Brandon S. Washington (CON)</t>
  </si>
  <si>
    <t>Jaime R. Williams (WOR)</t>
  </si>
  <si>
    <t>Member of Assembly 60th Assembly District - General Election - November 6, 2018</t>
  </si>
  <si>
    <t>Charles Barron (DEM)</t>
  </si>
  <si>
    <t>Leroy R. Bates (REP)</t>
  </si>
  <si>
    <t>Horrie J. Johnson (CON)</t>
  </si>
  <si>
    <t>Member of Assembly 61st Assembly District - General Election - November 6, 2018</t>
  </si>
  <si>
    <t>Charles D. Fall (DEM)</t>
  </si>
  <si>
    <t>Daniel Falcone (GRE)</t>
  </si>
  <si>
    <t>Patricia Kane (WOR)</t>
  </si>
  <si>
    <t>Charles D. Fall (REF)</t>
  </si>
  <si>
    <t>Member of Assembly 62nd Assembly District - General Election - November 6, 2018</t>
  </si>
  <si>
    <t>Michael W. Reilly, Jr. (REP)</t>
  </si>
  <si>
    <t>Michael W. Reilly, Jr. (CON)</t>
  </si>
  <si>
    <t>Glenn A. Yost (REF)</t>
  </si>
  <si>
    <t>Member of Assembly 63rd Assembly District - General Election - November 6, 2018</t>
  </si>
  <si>
    <t>Michael J. Cusick (DEM)</t>
  </si>
  <si>
    <t>Michael J. Cusick (CON)</t>
  </si>
  <si>
    <t>John Dennie (GRE)</t>
  </si>
  <si>
    <t>Michael J. Cusick (IND)</t>
  </si>
  <si>
    <t>Michael J. Cusick (REF)</t>
  </si>
  <si>
    <t>Member of Assembly 64th Assembly District - General Election - November 6, 2018</t>
  </si>
  <si>
    <t>Adam Baumel (DEM)</t>
  </si>
  <si>
    <t>Nicole Malliotakis (REP)</t>
  </si>
  <si>
    <t>Nicole Malliotakis (CON)</t>
  </si>
  <si>
    <t>Nicole Malliotakis (IND)</t>
  </si>
  <si>
    <t>Nicole Malliotakis (REF)</t>
  </si>
  <si>
    <t>Member of Assembly 65th Assembly District - General Election - November 6, 2018</t>
  </si>
  <si>
    <t>Yuh-Line Niou (DEM)</t>
  </si>
  <si>
    <t>Yuh-Line Niou (WOR)</t>
  </si>
  <si>
    <t>Member of Assembly 66th Assembly District - General Election - November 6, 2018</t>
  </si>
  <si>
    <t>Deborah J. Glick (DEM)</t>
  </si>
  <si>
    <t>Cynthia E. Nixon (WOR)</t>
  </si>
  <si>
    <t>Member of Assembly 67th Assembly District - General Election - November 6, 2018</t>
  </si>
  <si>
    <t>Linda B. Rosenthal (DEM)</t>
  </si>
  <si>
    <t>Linda B. Rosenthal (WOR)</t>
  </si>
  <si>
    <t>Member of Assembly 68th Assembly District - General Election - November 6, 2018</t>
  </si>
  <si>
    <t>Robert J. Rodriguez (DEM)</t>
  </si>
  <si>
    <t>Daby Carreras (REP)</t>
  </si>
  <si>
    <t>Daby Carreras (REF)</t>
  </si>
  <si>
    <t>Member of Assembly 69th Assembly District - General Election - November 6, 2018</t>
  </si>
  <si>
    <t>Daniel J. O'Donnell (DEM)</t>
  </si>
  <si>
    <t>Corina Cotenescu (REP)</t>
  </si>
  <si>
    <t>Member of Assembly 70th Assembly District - General Election - November 6, 2018</t>
  </si>
  <si>
    <t>Inez E. Dickens (DEM)</t>
  </si>
  <si>
    <t>Member of Assembly 71st Assembly District - General Election - November 6, 2018</t>
  </si>
  <si>
    <t>Alfred E. Taylor (DEM)</t>
  </si>
  <si>
    <t>Alfred E. Taylor (WOR)</t>
  </si>
  <si>
    <t>Member of Assembly 72nd Assembly District - General Election - November 6, 2018</t>
  </si>
  <si>
    <t>Carmen N. De La Rosa (DEM)</t>
  </si>
  <si>
    <t>Ronny Goodman (REP)</t>
  </si>
  <si>
    <t>Carmen N. De La Rosa (WOR)</t>
  </si>
  <si>
    <t>Member of Assembly 73rd Assembly District - General Election - November 6, 2018</t>
  </si>
  <si>
    <t>Dan Quart (DEM)</t>
  </si>
  <si>
    <t>Jeff Ascherman (REP)</t>
  </si>
  <si>
    <t>Dan Quart (WOR)</t>
  </si>
  <si>
    <t>Jeff Ascherman (IND)</t>
  </si>
  <si>
    <t>Jeff Ascherman (REF)</t>
  </si>
  <si>
    <t>Member of Assembly 74th Assembly District - General Election - November 6, 2018</t>
  </si>
  <si>
    <t>Harvey D. Epstein (DEM)</t>
  </si>
  <si>
    <t>Bryan Cooper (REP)</t>
  </si>
  <si>
    <t>Harvey D. Epstein (WOR)</t>
  </si>
  <si>
    <t>Juan Pagan (REF)</t>
  </si>
  <si>
    <t>Member of Assembly 75th Assembly District - General Election - November 6, 2018</t>
  </si>
  <si>
    <t>Richard N. Gottfried (DEM)</t>
  </si>
  <si>
    <t>Richard N. Gottfried (WOR)</t>
  </si>
  <si>
    <t>Richard N. Gottfried (WEP)</t>
  </si>
  <si>
    <t>Member of Assembly 76th Assembly District - General Election - November 6, 2018</t>
  </si>
  <si>
    <t>Rebecca A. Seawright (DEM)</t>
  </si>
  <si>
    <t>Rebecca A. Seawright (WOR)</t>
  </si>
  <si>
    <t>Lou Puliafito (REF)</t>
  </si>
  <si>
    <t>Member of Assembly 77th Assembly District - General Election - November 6, 2018</t>
  </si>
  <si>
    <t>Latoya Joyner (DEM)</t>
  </si>
  <si>
    <t>Tanya Carmichael (REP)</t>
  </si>
  <si>
    <t>Benjamin Eggleston (CON)</t>
  </si>
  <si>
    <t>Member of Assembly 78th Assembly District - General Election - November 6, 2018</t>
  </si>
  <si>
    <t>Jose Rivera (DEM)</t>
  </si>
  <si>
    <t>Michael E. Walters (REP)</t>
  </si>
  <si>
    <t>Michael E. Walters (CON)</t>
  </si>
  <si>
    <t>Member of Assembly 79th Assembly District - General Election - November 6, 2018</t>
  </si>
  <si>
    <t>Michael A. Blake (DEM)</t>
  </si>
  <si>
    <t>Gregory M. Torres (REP)</t>
  </si>
  <si>
    <t>Margaret Fasano (CON)</t>
  </si>
  <si>
    <t>Michael A. Blake (WOR)</t>
  </si>
  <si>
    <t>Member of Assembly 80th Assembly District - General Election - November 6, 2018</t>
  </si>
  <si>
    <t>Nathalia Fernandez (DEM)</t>
  </si>
  <si>
    <t>Louis Perri (REP)</t>
  </si>
  <si>
    <t>Louis Perri (CON)</t>
  </si>
  <si>
    <t>Member of Assembly 81st Assembly District - General Election - November 6, 2018</t>
  </si>
  <si>
    <t>Jeffrey Dinowitz (DEM)</t>
  </si>
  <si>
    <t>Alan H. Reed (REP)</t>
  </si>
  <si>
    <t>Alan H. Reed (CON)</t>
  </si>
  <si>
    <t>Jeffrey Dinowitz (WOR)</t>
  </si>
  <si>
    <t>Jeffrey Dinowitz (WEP)</t>
  </si>
  <si>
    <t>Member of Assembly 82nd Assembly District - General Election - November 6, 2018</t>
  </si>
  <si>
    <t>Elizabeth A. English (REP)</t>
  </si>
  <si>
    <t>William E. Britt, Jr. (CON)</t>
  </si>
  <si>
    <t>Member of Assembly 83rd Assembly District - General Election - November 6, 2018</t>
  </si>
  <si>
    <t>Carl E. Heastie (DEM)</t>
  </si>
  <si>
    <t>Aston G. Lee (REP)</t>
  </si>
  <si>
    <t>Regina Cartagena (CON)</t>
  </si>
  <si>
    <t>Member of Assembly 84th Assembly District - General Election - November 6, 2018</t>
  </si>
  <si>
    <t>Carmen E. Arroyo (DEM)</t>
  </si>
  <si>
    <t>Rosaline Nieves (REP)</t>
  </si>
  <si>
    <t>Oswald Denis (CON)</t>
  </si>
  <si>
    <t>Amanda Septimo (WOR)</t>
  </si>
  <si>
    <t>Member of Assembly 85th Assembly District - General Election - November 6, 2018</t>
  </si>
  <si>
    <t>Marcos A. Crespo (DEM)</t>
  </si>
  <si>
    <t>Shonde M. Lennon (REP)</t>
  </si>
  <si>
    <t>Joseph Bogdany (CON)</t>
  </si>
  <si>
    <t>Member of Assembly 86th Assembly District - General Election - November 6, 2018</t>
  </si>
  <si>
    <t>Victor M. Pichardo (DEM)</t>
  </si>
  <si>
    <t>Ariel A. Rivera-Diaz (REP)</t>
  </si>
  <si>
    <t>Jose Marte (CON)</t>
  </si>
  <si>
    <t>Victor M. Pichardo (WOR)</t>
  </si>
  <si>
    <t>Member of Assembly 87th Assembly District - General Election - November 6, 2018</t>
  </si>
  <si>
    <t>Karines Reyes (DEM)</t>
  </si>
  <si>
    <t>Alpheaus E. Marcus (REP)</t>
  </si>
  <si>
    <t>Michael Dennis (CON)</t>
  </si>
  <si>
    <t>Karines Reyes (WOR)</t>
  </si>
  <si>
    <t>Member of Assembly 88th Assembly District - General Election - November 6, 2018</t>
  </si>
  <si>
    <t>Amy R. Paulin (DEM)</t>
  </si>
  <si>
    <t>Amy R. Paulin (WOR)</t>
  </si>
  <si>
    <t>Amy R. Paulin (WEP)</t>
  </si>
  <si>
    <t>Amy R. Paulin (REF)</t>
  </si>
  <si>
    <t>Member of Assembly 89th Assembly District - General Election - November 6, 2018</t>
  </si>
  <si>
    <t>J. Gary Pretlow (DEM)</t>
  </si>
  <si>
    <t>Member of Assembly 90th Assembly District - General Election - November 6, 2018</t>
  </si>
  <si>
    <t>Nader Sayegh (DEM)</t>
  </si>
  <si>
    <t>Joe Pinion (REP)</t>
  </si>
  <si>
    <t>Joe Pinion (CON)</t>
  </si>
  <si>
    <t>Nader Sayegh (GRE)</t>
  </si>
  <si>
    <t>Nader Sayegh (WOR)</t>
  </si>
  <si>
    <t>Nader Sayegh (IND)</t>
  </si>
  <si>
    <t>Nader Sayegh (WEP)</t>
  </si>
  <si>
    <t>Nader Sayegh (REF)</t>
  </si>
  <si>
    <t>Member of Assembly 91st Assembly District - General Election - November 6, 2018</t>
  </si>
  <si>
    <t>Steven Otis (DEM)</t>
  </si>
  <si>
    <t>Steven Otis (WOR)</t>
  </si>
  <si>
    <t>Steven Otis (WEP)</t>
  </si>
  <si>
    <t>Member of Assembly 92nd Assembly District - General Election - November 6, 2018</t>
  </si>
  <si>
    <t>Thomas J. Abinanti (DEM)</t>
  </si>
  <si>
    <t>Thomas J. Abinanti (WOR)</t>
  </si>
  <si>
    <t>Thomas J. Abinanti (REF)</t>
  </si>
  <si>
    <t>Member of Assembly 93rd Assembly District - General Election - November 6, 2018</t>
  </si>
  <si>
    <t>David Buchwald (DEM)</t>
  </si>
  <si>
    <t>John Nuculovic (REP)</t>
  </si>
  <si>
    <t>John Nuculovic (CON)</t>
  </si>
  <si>
    <t>David Buchwald (WOR)</t>
  </si>
  <si>
    <t>David Buchwald (IND)</t>
  </si>
  <si>
    <t>David Buchwald (WEP)</t>
  </si>
  <si>
    <t>David Buchwald (REF)</t>
  </si>
  <si>
    <t>Member of Assembly 94th Assembly District - General Election - November 6, 2018</t>
  </si>
  <si>
    <t>Vedat Gashi (DEM)</t>
  </si>
  <si>
    <t>Kevin M. Byrne (REP)</t>
  </si>
  <si>
    <t>Kevin M. Byrne (CON)</t>
  </si>
  <si>
    <t>Vedat Gashi (WOR)</t>
  </si>
  <si>
    <t>Vedat Gashi (IND)</t>
  </si>
  <si>
    <t>Vedat Gashi (WEP)</t>
  </si>
  <si>
    <t>Kevin M. Byrne (REF)</t>
  </si>
  <si>
    <t>Member of Assembly 95th Assembly District - General Election - November 6, 2018</t>
  </si>
  <si>
    <t>Sandra R. Galef (DEM)</t>
  </si>
  <si>
    <t>Lawrence A. Chiulli (REP)</t>
  </si>
  <si>
    <t>Lawrence A. Chiulli (CON)</t>
  </si>
  <si>
    <t>Sandra R. Galef (WOR)</t>
  </si>
  <si>
    <t>Sandra R. Galef (WEP)</t>
  </si>
  <si>
    <t>Sandra R. Galef (REF)</t>
  </si>
  <si>
    <t>Member of Assembly 96th Assembly District - General Election - November 6, 2018</t>
  </si>
  <si>
    <t>Kenneth P. Zebrowski (DEM)</t>
  </si>
  <si>
    <t>Kenneth P. Zebrowski (WOR)</t>
  </si>
  <si>
    <t>Kenneth P. Zebrowski (WEP)</t>
  </si>
  <si>
    <t>Kenneth P. Zebrowski (REF)</t>
  </si>
  <si>
    <t>Member of Assembly 97th Assembly District - General Election - November 6, 2018</t>
  </si>
  <si>
    <t>Ellen C. Jaffee (DEM)</t>
  </si>
  <si>
    <t>Rosario Presti, Jr. (REP)</t>
  </si>
  <si>
    <t>Rosario Presti, Jr. (CON)</t>
  </si>
  <si>
    <t>Ellen C. Jaffee (WOR)</t>
  </si>
  <si>
    <t>Ellen C. Jaffee (WEP)</t>
  </si>
  <si>
    <t>Ellen C. Jaffee (REF)</t>
  </si>
  <si>
    <t>Member of Assembly 98th Assembly District - General Election - November 6, 2018</t>
  </si>
  <si>
    <t>Scott Martens (DEM)</t>
  </si>
  <si>
    <t>Karl A. Brabenec (REP)</t>
  </si>
  <si>
    <t>Karl A. Brabenec (CON)</t>
  </si>
  <si>
    <t>Scott Martens (WOR)</t>
  </si>
  <si>
    <t>Karl A. Brabenec (IND)</t>
  </si>
  <si>
    <t>Scott Martens (WEP)</t>
  </si>
  <si>
    <t>Karl A. Brabenec (REF)</t>
  </si>
  <si>
    <t>Member of Assembly 99th Assembly District - General Election - November 6, 2018</t>
  </si>
  <si>
    <t>Matthew A. Rettig (DEM)</t>
  </si>
  <si>
    <t>Colin J. Schmitt (REP)</t>
  </si>
  <si>
    <t>Colin J. Schmitt (CON)</t>
  </si>
  <si>
    <t>Matthew A. Rettig (WOR)</t>
  </si>
  <si>
    <t>Colin J. Schmitt (IND)</t>
  </si>
  <si>
    <t>Matthew A. Rettig (WEP)</t>
  </si>
  <si>
    <t>Colin J. Schmitt (REF)</t>
  </si>
  <si>
    <t>Member of Assembly 100th Assembly District - General Election - November 6, 2018</t>
  </si>
  <si>
    <t>Aileen M. Gunther (DEM)</t>
  </si>
  <si>
    <t>Aileen M. Gunther (WOR)</t>
  </si>
  <si>
    <t>Aileen M. Gunther (IND)</t>
  </si>
  <si>
    <t>Member of Assembly 101st Assembly District - General Election - November 6, 2018</t>
  </si>
  <si>
    <t>Chad J. McEvoy (DEM)</t>
  </si>
  <si>
    <t>Brian D. Miller (REP)</t>
  </si>
  <si>
    <t>Brian D. Miller (CON)</t>
  </si>
  <si>
    <t>Chad J. McEvoy (WOR)</t>
  </si>
  <si>
    <t>Brian D. Miller (IND)</t>
  </si>
  <si>
    <t>Chad J. McEvoy (WEP)</t>
  </si>
  <si>
    <t>Brian D. Miller (REF)</t>
  </si>
  <si>
    <t>Member of Assembly 102nd Assembly District - General Election - November 6, 2018</t>
  </si>
  <si>
    <t>Aidan S. O'Connor, Jr. (DEM)</t>
  </si>
  <si>
    <t>Christopher Tague (REP)</t>
  </si>
  <si>
    <t>Christopher Tague (CON)</t>
  </si>
  <si>
    <t>Aidan S. O'Connor, Jr. (WOR)</t>
  </si>
  <si>
    <t>Christopher Tague (IND)</t>
  </si>
  <si>
    <t>Aidan S. O'Connor, Jr. (WEP)</t>
  </si>
  <si>
    <t>Christopher Tague (REF)</t>
  </si>
  <si>
    <t>Kevin Cahill (DEM)</t>
  </si>
  <si>
    <t>Kevin Cahill (WOR)</t>
  </si>
  <si>
    <t>Member of Assembly 103rd Assembly District - General Election - November 6, 2018</t>
  </si>
  <si>
    <t>Member of Assembly 104th Assembly District - General Election - November 6, 2018</t>
  </si>
  <si>
    <t>Jonathan G. Jacobson (DEM)</t>
  </si>
  <si>
    <t>Scott M. Manley (REP)</t>
  </si>
  <si>
    <t>Scott M. Manley (CON)</t>
  </si>
  <si>
    <t>Member of Assembly 105th Assembly District - General Election - November 6, 2018</t>
  </si>
  <si>
    <t>Laurette Giardino (DEM)</t>
  </si>
  <si>
    <t>Kieran M. Lalor (REP)</t>
  </si>
  <si>
    <t>Kieran M. Lalor (CON)</t>
  </si>
  <si>
    <t>Laurette Giardino (WOR)</t>
  </si>
  <si>
    <t>Kieran M. Lalor (IND)</t>
  </si>
  <si>
    <t>Laurette Giardino (WEP)</t>
  </si>
  <si>
    <t>Kieran M. Lalor (REF)</t>
  </si>
  <si>
    <t>Member of Assembly 106th Assembly District - General Election - November 6, 2018</t>
  </si>
  <si>
    <t>Didi Barrett (DEM)</t>
  </si>
  <si>
    <t>William G. Truitt (REP)</t>
  </si>
  <si>
    <t>William G. Truitt (CON)</t>
  </si>
  <si>
    <t>Didi Barrett (WOR)</t>
  </si>
  <si>
    <t>Didi Barrett (IND)</t>
  </si>
  <si>
    <t>William G. Truitt (WEP)</t>
  </si>
  <si>
    <t>William G. Truitt (REF)</t>
  </si>
  <si>
    <t>Member of Assembly 107th Assembly District - General Election - November 6, 2018</t>
  </si>
  <si>
    <t>Tistrya G. Houghtling (DEM)</t>
  </si>
  <si>
    <t>Jacob C. Ashby (REP)</t>
  </si>
  <si>
    <t>Jacob C. Ashby (CON)</t>
  </si>
  <si>
    <t>Tistrya G. Houghtling (GRE)</t>
  </si>
  <si>
    <t>Tistrya G. Houghtling (WOR)</t>
  </si>
  <si>
    <t>Jacob C. Ashby (IND)</t>
  </si>
  <si>
    <t>Tistrya G. Houghtling (WEP)</t>
  </si>
  <si>
    <t>Jacob C. Ashby (REF)</t>
  </si>
  <si>
    <t>Member of Assembly 108th Assembly District - General Election - November 6, 2018</t>
  </si>
  <si>
    <t>John T. McDonald, III (DEM)</t>
  </si>
  <si>
    <t>John T. McDonald, III (IND)</t>
  </si>
  <si>
    <t>Member of Assembly 109th Assembly District - General Election - November 6, 2018</t>
  </si>
  <si>
    <t>Patricia A. Fahy (DEM)</t>
  </si>
  <si>
    <t>Robert G. Porter (REP)</t>
  </si>
  <si>
    <t>Joseph P. Sullivan (CON)</t>
  </si>
  <si>
    <t>Patricia A. Fahy (WOR)</t>
  </si>
  <si>
    <t>Patricia A. Fahy (IND)</t>
  </si>
  <si>
    <t>Member of Assembly 110th Assembly District - General Election - November 6, 2018</t>
  </si>
  <si>
    <t>Phillip G. Steck (DEM)</t>
  </si>
  <si>
    <t>Christopher J. Carey (REP)</t>
  </si>
  <si>
    <t>Christopher J. Carey (CON)</t>
  </si>
  <si>
    <t>Phillip G. Steck (WOR)</t>
  </si>
  <si>
    <t>Phillip G. Steck (IND)</t>
  </si>
  <si>
    <t>Phillip G. Steck (WEP)</t>
  </si>
  <si>
    <t>Phillip G. Steck (REF)</t>
  </si>
  <si>
    <t>Member of Assembly 111th Assembly District - General Election - November 6, 2018</t>
  </si>
  <si>
    <t>Angelo L. Santabarbara (DEM)</t>
  </si>
  <si>
    <t>Brian McGarry (REP)</t>
  </si>
  <si>
    <t>Brian McGarry (CON)</t>
  </si>
  <si>
    <t>Brian McGarry (GRE)</t>
  </si>
  <si>
    <t>Angelo L. Santabarbara (WOR)</t>
  </si>
  <si>
    <t>Angelo L. Santabarbara (IND)</t>
  </si>
  <si>
    <t>Angelo L. Santabarbara (WEP)</t>
  </si>
  <si>
    <t>Angelo L. Santabarbara (REF)</t>
  </si>
  <si>
    <t>Member of Assembly 112th Assembly District - General Election - November 6, 2018</t>
  </si>
  <si>
    <t>Mary Beth Walsh (REP)</t>
  </si>
  <si>
    <t>Mary Beth Walsh (CON)</t>
  </si>
  <si>
    <t>Mary Beth Walsh (IND)</t>
  </si>
  <si>
    <t>Mary Beth Walsh (REF)</t>
  </si>
  <si>
    <t>Member of Assembly 113th Assembly District - General Election - November 6, 2018</t>
  </si>
  <si>
    <t>Carrie Woerner (DEM)</t>
  </si>
  <si>
    <t>Morgan Zegers (REP)</t>
  </si>
  <si>
    <t>Morgan Zegers (CON)</t>
  </si>
  <si>
    <t>Carrie Woerner (IND)</t>
  </si>
  <si>
    <t>Morgan Zegers (REF)</t>
  </si>
  <si>
    <t>Member of Assembly 114th Assembly District - General Election - November 6, 2018</t>
  </si>
  <si>
    <t>Daniel G. Stec (REP)</t>
  </si>
  <si>
    <t>Daniel G. Stec (CON)</t>
  </si>
  <si>
    <t>Kathryn K. Wilson (WOR)</t>
  </si>
  <si>
    <t>Daniel G. Stec (IND)</t>
  </si>
  <si>
    <t>Member of Assembly 115th Assembly District - General Election - November 6, 2018</t>
  </si>
  <si>
    <t>D. Billy Jones (DEM)</t>
  </si>
  <si>
    <t>D. Billy Jones (WOR)</t>
  </si>
  <si>
    <t>D. Billy Jones (IND)</t>
  </si>
  <si>
    <t>Member of Assembly 116th Assembly District - General Election - November 6, 2018</t>
  </si>
  <si>
    <t>Addie A. E. Jenne (DEM)</t>
  </si>
  <si>
    <t>Mark C. Walczyk (REP)</t>
  </si>
  <si>
    <t>Mark C. Walczyk (CON)</t>
  </si>
  <si>
    <t>Addie A. E. Jenne (WOR)</t>
  </si>
  <si>
    <t>Mark C. Walczyk (IND)</t>
  </si>
  <si>
    <t>Mark C. Walczyk (REF)</t>
  </si>
  <si>
    <t>Member of Assembly 117th Assembly District - General Election - November 6, 2018</t>
  </si>
  <si>
    <t>Kenneth Blankenbush (REP)</t>
  </si>
  <si>
    <t>Kenneth Blankenbush (CON)</t>
  </si>
  <si>
    <t>Kenneth Blankenbush (IND)</t>
  </si>
  <si>
    <t>Member of Assembly 118th Assembly District - General Election - November 6, 2018</t>
  </si>
  <si>
    <t>Keith A. Rubino (DEM)</t>
  </si>
  <si>
    <t>Robert J. Smullen (REP)</t>
  </si>
  <si>
    <t>Robert J. Smullen (CON)</t>
  </si>
  <si>
    <t>Keith A. Rubino (WOR)</t>
  </si>
  <si>
    <t>Robert J. Smullen (REF)</t>
  </si>
  <si>
    <t>Member of Assembly 119th Assembly District - General Election - November 6, 2018</t>
  </si>
  <si>
    <t>Marianne Buttenschon (DEM)</t>
  </si>
  <si>
    <t>Dennis B. Bova, Jr. (REP)</t>
  </si>
  <si>
    <t>Dennis B. Bova, Jr. (CON)</t>
  </si>
  <si>
    <t>Marianne Buttenschon (IND)</t>
  </si>
  <si>
    <t>Dennis B. Bova, Jr. (REF)</t>
  </si>
  <si>
    <t>Member of Assembly 120th Assembly District - General Election - November 6, 2018</t>
  </si>
  <si>
    <t>Gail E. Tosh (DEM)</t>
  </si>
  <si>
    <t>William A. Barclay (REP)</t>
  </si>
  <si>
    <t>William A. Barclay (CON)</t>
  </si>
  <si>
    <t>Gail E. Tosh (WOR)</t>
  </si>
  <si>
    <t>William A. Barclay (IND)</t>
  </si>
  <si>
    <t>Gail E. Tosh (WEP)</t>
  </si>
  <si>
    <t>William A. Barclay (REF)</t>
  </si>
  <si>
    <t>Member of Assembly 121st Assembly District - General Election - November 6, 2018</t>
  </si>
  <si>
    <t>Bill Magee (DEM)</t>
  </si>
  <si>
    <t>John J. Salka (REP)</t>
  </si>
  <si>
    <t>John J. Salka (CON)</t>
  </si>
  <si>
    <t>John J. Salka (REF)</t>
  </si>
  <si>
    <t>Member of Assembly 122nd Assembly District - General Election - November 6, 2018</t>
  </si>
  <si>
    <t>Clifford W. Crouch (REP)</t>
  </si>
  <si>
    <t>Nicholas R. Libous (CON)</t>
  </si>
  <si>
    <t>Clifford W. Crouch (REF)</t>
  </si>
  <si>
    <t>Member of Assembly 123rd Assembly District - General Election - November 6, 2018</t>
  </si>
  <si>
    <t>Donna A. Lupardo (DEM)</t>
  </si>
  <si>
    <t>Member of Assembly 124th Assembly District - General Election - November 6, 2018</t>
  </si>
  <si>
    <t>Bill Batrowny (DEM)</t>
  </si>
  <si>
    <t>Christopher S. Friend (REP)</t>
  </si>
  <si>
    <t>Christopher S. Friend (CON)</t>
  </si>
  <si>
    <t>Bill Batrowny (WOR)</t>
  </si>
  <si>
    <t>Christopher S. Friend (IND)</t>
  </si>
  <si>
    <t>Member of Assembly 125th Assembly District - General Election - November 6, 2018</t>
  </si>
  <si>
    <t>Barbara S. Lifton (DEM)</t>
  </si>
  <si>
    <t>Member of Assembly 126th Assembly District - General Election - November 6, 2018</t>
  </si>
  <si>
    <t>Keith Batman (DEM)</t>
  </si>
  <si>
    <t>Gary D. Finch (REP)</t>
  </si>
  <si>
    <t>Gary D. Finch (CON)</t>
  </si>
  <si>
    <t>Keith Batman (WOR)</t>
  </si>
  <si>
    <t>Gary D. Finch (IND)</t>
  </si>
  <si>
    <t>Keith Batman (WEP)</t>
  </si>
  <si>
    <t>Gary D. Finch (REF)</t>
  </si>
  <si>
    <t>Member of Assembly 127th Assembly District - General Election - November 6, 2018</t>
  </si>
  <si>
    <t>Albert A. Stirpe, Jr. (DEM)</t>
  </si>
  <si>
    <t>Nicholas R. Paro (REP)</t>
  </si>
  <si>
    <t>Nicholas R. Paro (CON)</t>
  </si>
  <si>
    <t>Albert A. Stirpe, Jr. (WOR)</t>
  </si>
  <si>
    <t>Nicholas R. Paro (IND)</t>
  </si>
  <si>
    <t>Albert A. Stirpe, Jr. (WEP)</t>
  </si>
  <si>
    <t>Albert A. Stirpe, Jr. (REF)</t>
  </si>
  <si>
    <t>Member of Assembly 128th Assembly District - General Election - November 6, 2018</t>
  </si>
  <si>
    <t>Pamela Jo Hunter (DEM)</t>
  </si>
  <si>
    <t>Pamela Jo Hunter (WOR)</t>
  </si>
  <si>
    <t>Pamela Jo Hunter (IND)</t>
  </si>
  <si>
    <t>Pamela Jo Hunter (WEP)</t>
  </si>
  <si>
    <t>Member of Assembly 129th Assembly District - General Election - November 6, 2018</t>
  </si>
  <si>
    <t>William B. Magnarelli (DEM)</t>
  </si>
  <si>
    <t>Edward L. Ott (REP)</t>
  </si>
  <si>
    <t>Michael R. Hunter (CON)</t>
  </si>
  <si>
    <t>William B. Magnarelli (IND)</t>
  </si>
  <si>
    <t>William B. Magnarelli (WEP)</t>
  </si>
  <si>
    <t>Member of Assembly 130th Assembly District - General Election - November 6, 2018</t>
  </si>
  <si>
    <t>Scott Comegys (DEM)</t>
  </si>
  <si>
    <t>Brian D. Manktelow (REP)</t>
  </si>
  <si>
    <t>Brian D. Manktelow (CON)</t>
  </si>
  <si>
    <t>Scott Comegys (WOR)</t>
  </si>
  <si>
    <t>Brian D. Manktelow (IND)</t>
  </si>
  <si>
    <t>Brian D. Manktelow (REF)</t>
  </si>
  <si>
    <t>Member of Assembly 131st Assembly District - General Election - November 6, 2018</t>
  </si>
  <si>
    <t>Brian M. Kolb (REP)</t>
  </si>
  <si>
    <t>Brian M. Kolb (CON)</t>
  </si>
  <si>
    <t>Brian M. Kolb (REF)</t>
  </si>
  <si>
    <t>Member of Assembly 132nd Assembly District - General Election - November 6, 2018</t>
  </si>
  <si>
    <t>Philip A. Palmesano (REP)</t>
  </si>
  <si>
    <t>Philip A. Palmesano (CON)</t>
  </si>
  <si>
    <t>Philip A. Palmesano (IND)</t>
  </si>
  <si>
    <t>Philip A. Palmesano (REF)</t>
  </si>
  <si>
    <t>Member of Assembly 133rd Assembly District - General Election - November 6, 2018</t>
  </si>
  <si>
    <t>Barbara A. Baer (DEM)</t>
  </si>
  <si>
    <t>Marjorie L. Byrnes (REP)</t>
  </si>
  <si>
    <t>Marjorie L. Byrnes (CON)</t>
  </si>
  <si>
    <t>Barbara A. Baer (WOR)</t>
  </si>
  <si>
    <t>Joe Errigo (IND)</t>
  </si>
  <si>
    <t>Barbara A. Baer (WEP)</t>
  </si>
  <si>
    <t>Joe Errigo (REF)</t>
  </si>
  <si>
    <t>Member of Assembly 134th Assembly District - General Election - November 6, 2018</t>
  </si>
  <si>
    <t>Peter A. Lawrence (REP)</t>
  </si>
  <si>
    <t>Peter A. Lawrence (CON)</t>
  </si>
  <si>
    <t>Peter A. Lawrence (IND)</t>
  </si>
  <si>
    <t>Peter A. Lawrence (REF)</t>
  </si>
  <si>
    <t>Member of Assembly 135th Assembly District - General Election - November 6, 2018</t>
  </si>
  <si>
    <t>Andrew G. Gilchrist (DEM)</t>
  </si>
  <si>
    <t>Mark C. Johns (REP)</t>
  </si>
  <si>
    <t>Mark C. Johns (CON)</t>
  </si>
  <si>
    <t>Andrew G. Gilchrist (WOR)</t>
  </si>
  <si>
    <t>Mark C. Johns (IND)</t>
  </si>
  <si>
    <t>Andrew G. Gilchrist (WEP)</t>
  </si>
  <si>
    <t>Mark C. Johns (REF)</t>
  </si>
  <si>
    <t>Member of Assembly 136th Assembly District - General Election - November 6, 2018</t>
  </si>
  <si>
    <t>Jamie L. Romeo (DEM)</t>
  </si>
  <si>
    <t>Jamie L. Romeo (WOR)</t>
  </si>
  <si>
    <t>Jamie L. Romeo (IND)</t>
  </si>
  <si>
    <t>Jamie L. Romeo (WEP)</t>
  </si>
  <si>
    <t>Member of Assembly 137th Assembly District - General Election - November 6, 2018</t>
  </si>
  <si>
    <t>David F. Gantt (DEM)</t>
  </si>
  <si>
    <t>Member of Assembly 138th Assembly District - General Election - November 6, 2018</t>
  </si>
  <si>
    <t>Harry B. Bronson (DEM)</t>
  </si>
  <si>
    <t>Patsy A. Iacovangelo (REP)</t>
  </si>
  <si>
    <t>Patsy A. Iacovangelo (CON)</t>
  </si>
  <si>
    <t>Harry B. Bronson (WOR)</t>
  </si>
  <si>
    <t>Harry B. Bronson (IND)</t>
  </si>
  <si>
    <t>Harry B. Bronson (WEP)</t>
  </si>
  <si>
    <t>Patsy A. Iacovangelo (REF)</t>
  </si>
  <si>
    <t>Member of Assembly 139th Assembly District - General Election - November 6, 2018</t>
  </si>
  <si>
    <t>Stephen M. Hawley (REP)</t>
  </si>
  <si>
    <t>Stephen M. Hawley (CON)</t>
  </si>
  <si>
    <t>Stephen M. Hawley (IND)</t>
  </si>
  <si>
    <t>Stephen M. Hawley (REF)</t>
  </si>
  <si>
    <t>Mark E. Glogowski (LBT)</t>
  </si>
  <si>
    <t>Member of Assembly 140th Assembly District - General Election - November 6, 2018</t>
  </si>
  <si>
    <t>Robin Schimminger (DEM)</t>
  </si>
  <si>
    <t>Adam P. Ohar (REP)</t>
  </si>
  <si>
    <t>Anthony K. Baney (GRE)</t>
  </si>
  <si>
    <t>Robin Schimminger (CON)</t>
  </si>
  <si>
    <t>Robin Schimminger (IND)</t>
  </si>
  <si>
    <t>Brian V. Phillips (WEP)</t>
  </si>
  <si>
    <t>Member of Assembly 141st Assembly District - General Election - November 6, 2018</t>
  </si>
  <si>
    <t>Crystal D. Peoples (DEM)</t>
  </si>
  <si>
    <t>Ross M. Kostecky (REP)</t>
  </si>
  <si>
    <t>Member of Assembly 142nd Assembly District - General Election - November 6, 2018</t>
  </si>
  <si>
    <t>Patrick B. Burke (DEM)</t>
  </si>
  <si>
    <t>Erik T. Bohen (REP)</t>
  </si>
  <si>
    <t>Erik T. Bohen (CON)</t>
  </si>
  <si>
    <t>Patrick B. Burke (WOR)</t>
  </si>
  <si>
    <t>Michelle M. Kennedy (IND)</t>
  </si>
  <si>
    <t>Patrick B. Burke (REF)</t>
  </si>
  <si>
    <t>Member of Assembly 143rd Assembly District - General Election - November 6, 2018</t>
  </si>
  <si>
    <t>Monica Piga Wallace (DEM)</t>
  </si>
  <si>
    <t>Daniel R. Centinello, Sr. (REP)</t>
  </si>
  <si>
    <t>Monica Piga Wallace (WOR)</t>
  </si>
  <si>
    <t>Monica Piga Wallace (IND)</t>
  </si>
  <si>
    <t>Monica Piga Wallace (WEP)</t>
  </si>
  <si>
    <t>Member of Assembly 144th Assembly District - General Election - November 6, 2018</t>
  </si>
  <si>
    <t>Joseph DiPasquale (DEM)</t>
  </si>
  <si>
    <t>Michael J. Norris (REP)</t>
  </si>
  <si>
    <t>Michael J. Norris (CON)</t>
  </si>
  <si>
    <t>Joseph DiPasquale (WOR)</t>
  </si>
  <si>
    <t>Michael J. Norris (IND)</t>
  </si>
  <si>
    <t>Joseph DiPasquale (WEP)</t>
  </si>
  <si>
    <t>Michael J. Norris (REF)</t>
  </si>
  <si>
    <t>Member of Assembly 145th Assembly District - General Election - November 6, 2018</t>
  </si>
  <si>
    <t>Angelo J. Morinello (REP)</t>
  </si>
  <si>
    <t>Angelo J. Morinello (CON)</t>
  </si>
  <si>
    <t>Angelo J. Morinello (IND)</t>
  </si>
  <si>
    <t>Angelo J. Morinello (REF)</t>
  </si>
  <si>
    <t>Member of Assembly 146th Assembly District - General Election - November 6, 2018</t>
  </si>
  <si>
    <t>Karen M. McMahon (DEM)</t>
  </si>
  <si>
    <t>Raymond W. Walter (REP)</t>
  </si>
  <si>
    <t>Danilo Lawvere (GRE)</t>
  </si>
  <si>
    <t>Raymond W. Walter (CON)</t>
  </si>
  <si>
    <t>Karen M. McMahon (WOR)</t>
  </si>
  <si>
    <t>Raymond W. Walter (IND)</t>
  </si>
  <si>
    <t>Karen M. McMahon (WEP)</t>
  </si>
  <si>
    <t>Raymond W. Walter (REF)</t>
  </si>
  <si>
    <t>Member of Assembly 147th Assembly District - General Election - November 6, 2018</t>
  </si>
  <si>
    <t>Luke E. Wochensky (DEM)</t>
  </si>
  <si>
    <t>David J. DiPietro (REP)</t>
  </si>
  <si>
    <t>David J. DiPietro (CON)</t>
  </si>
  <si>
    <t>Luke E. Wochensky (WOR)</t>
  </si>
  <si>
    <t>David J. DiPietro (REF)</t>
  </si>
  <si>
    <t>Member of Assembly 148th Assembly District - General Election - November 6, 2018</t>
  </si>
  <si>
    <t>Joseph M. Giglio (REP)</t>
  </si>
  <si>
    <t>Joseph M. Giglio (CON)</t>
  </si>
  <si>
    <t>Joseph M. Giglio (IND)</t>
  </si>
  <si>
    <t>Member of Assembly 149th Assembly District - General Election - November 6, 2018</t>
  </si>
  <si>
    <t>Sean M. Ryan (DEM)</t>
  </si>
  <si>
    <t>Joseph Totaro (REP)</t>
  </si>
  <si>
    <t>Sean M. Ryan (WOR)</t>
  </si>
  <si>
    <t>Sean M. Ryan (IND)</t>
  </si>
  <si>
    <t>Sean M. Ryan (WEP)</t>
  </si>
  <si>
    <t>Member of Assembly 150th Assembly District - General Election - November 6, 2018</t>
  </si>
  <si>
    <t>Judith S. Einach (DEM)</t>
  </si>
  <si>
    <t>Andrew W. Goodell (REP)</t>
  </si>
  <si>
    <t>Andrew W. Goodell (CON)</t>
  </si>
  <si>
    <t>Judith S. Einach (WOR)</t>
  </si>
  <si>
    <t>Andrew W. Goodell (IND)</t>
  </si>
  <si>
    <t>Judith S. Einach (WEP)</t>
  </si>
  <si>
    <t>Maritza Davila (DEM)</t>
  </si>
  <si>
    <t>Maritza Davila (WOR)</t>
  </si>
  <si>
    <t>Michael R. Benedetto (DEM)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</si>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</sst>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4" fillId="3" borderId="4" xfId="0" applyFont="1" applyFill="1" applyBorder="1"/>
    <xf numFmtId="3" fontId="3" fillId="0" borderId="1" xfId="0" applyNumberFormat="1" applyFont="1" applyBorder="1"/>
    <xf numFmtId="0" fontId="4" fillId="3" borderId="5" xfId="0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4" fillId="2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19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4" xr:uid="{5C19DFBB-E8D4-44B1-8386-A3B29AC58125}" name="MemberOfAssemblyAssemblyDistrict1General" displayName="MemberOfAssemblyAssemblyDistrict1General" ref="A2:D13" totalsRowCount="1" headerRowDxfId="1955" dataDxfId="1953" headerRowBorderDxfId="1954" tableBorderDxfId="1952" totalsRowBorderDxfId="1951">
  <autoFilter ref="A2:D12" xr:uid="{3A650E04-D3BE-4799-8EA0-96F8843917A4}">
    <filterColumn colId="0" hiddenButton="1"/>
    <filterColumn colId="1" hiddenButton="1"/>
    <filterColumn colId="2" hiddenButton="1"/>
    <filterColumn colId="3" hiddenButton="1"/>
  </autoFilter>
  <tableColumns count="4">
    <tableColumn id="1" xr3:uid="{966F2FF4-31F5-4097-915C-EB02CCB63253}" name="Candidate Name (Party)" totalsRowLabel="Total Votes by County" dataDxfId="1950" totalsRowDxfId="1949"/>
    <tableColumn id="4" xr3:uid="{C7D1CB6B-2624-47BC-8CF3-483AA1924117}" name="Part of Suffolk County Vote Results" totalsRowFunction="custom" dataDxfId="1948" totalsRowDxfId="1947">
      <totalsRowFormula>SUBTOTAL(109,MemberOfAssemblyAssemblyDistrict1General[Total Votes by Candidate])</totalsRowFormula>
    </tableColumn>
    <tableColumn id="3" xr3:uid="{21A88CE6-83FA-4BA2-89A5-4AFC3DA6D922}" name="Total Votes by Party" dataDxfId="1946">
      <calculatedColumnFormula>MemberOfAssemblyAssemblyDistrict1General[[#This Row],[Part of Suffolk County Vote Results]]</calculatedColumnFormula>
    </tableColumn>
    <tableColumn id="2" xr3:uid="{F5952D43-6E82-4B57-8B57-34D0381677D3}" name="Total Votes by Candidate" dataDxfId="1945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6" xr:uid="{0245A2DF-213A-4578-974C-2043823FF8D5}" name="MemberOfAssemblyAssemblyDistrict10General" displayName="MemberOfAssemblyAssemblyDistrict10General" ref="A2:D12" totalsRowCount="1" headerRowDxfId="1846" dataDxfId="1844" headerRowBorderDxfId="1845" tableBorderDxfId="1843" totalsRowBorderDxfId="1842">
  <autoFilter ref="A2:D11" xr:uid="{784F8CBD-14E3-44A5-A0D2-79783C1E721A}">
    <filterColumn colId="0" hiddenButton="1"/>
    <filterColumn colId="1" hiddenButton="1"/>
    <filterColumn colId="2" hiddenButton="1"/>
    <filterColumn colId="3" hiddenButton="1"/>
  </autoFilter>
  <tableColumns count="4">
    <tableColumn id="1" xr3:uid="{6354FF96-A466-4C76-9EDE-94D61D2C55C9}" name="Candidate Name (Party)" totalsRowLabel="Total Votes by County" dataDxfId="1841" totalsRowDxfId="1840"/>
    <tableColumn id="4" xr3:uid="{3B3313E5-4276-4730-8141-84BAF05ECD36}" name="Part of Suffolk County Vote Results" totalsRowFunction="custom" dataDxfId="1839" totalsRowDxfId="1838">
      <totalsRowFormula>SUBTOTAL(109,MemberOfAssemblyAssemblyDistrict10General[Total Votes by Candidate])</totalsRowFormula>
    </tableColumn>
    <tableColumn id="3" xr3:uid="{E63AAB09-325B-4550-B37A-5DC13FCF8FD7}" name="Total Votes by Party" totalsRowFunction="custom" dataDxfId="1837" totalsRowDxfId="1836">
      <calculatedColumnFormula>MemberOfAssemblyAssemblyDistrict10General[[#This Row],[Part of Suffolk County Vote Results]]</calculatedColumnFormula>
      <totalsRowFormula>SUM(MemberOfAssemblyAssemblyDistrict9General[[#This Row],[Part of Nassau County Vote Results]:[Part of Suffolk County Vote Results]])</totalsRowFormula>
    </tableColumn>
    <tableColumn id="2" xr3:uid="{AE8AB542-A0BF-4BE0-9E10-5BB9F88745DA}" name="Total Votes by Candidate" dataDxfId="1835" totalsRowDxfId="1834"/>
  </tableColumns>
  <tableStyleInfo name="TableStyleMedium2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9" xr:uid="{58A1C5DC-7AF2-4A27-B183-FF5926511A93}" name="MemberOfAssemblyAssemblyDistrict100General" displayName="MemberOfAssemblyAssemblyDistrict100General" ref="A2:E9" totalsRowCount="1" headerRowDxfId="748" dataDxfId="746" headerRowBorderDxfId="747" tableBorderDxfId="745" totalsRowBorderDxfId="744">
  <autoFilter ref="A2:E8" xr:uid="{DCA4E2B6-7050-4201-AFC1-F92DCDF029D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F7BAA80-7345-4286-80FE-E4D30264BCAC}" name="Candidate Name (Party)" totalsRowLabel="Total Votes by County" dataDxfId="743" totalsRowDxfId="742"/>
    <tableColumn id="2" xr3:uid="{C38BB9D5-9F8D-4621-A1B3-253C1FDD1C3F}" name="Part of Orange County Vote Results" totalsRowFunction="sum" dataDxfId="741" totalsRowDxfId="740"/>
    <tableColumn id="4" xr3:uid="{8EC3EF08-C5CA-4474-A68F-02B2F860B178}" name="Part of Sullivan County Vote Results" totalsRowFunction="sum" dataDxfId="739" totalsRowDxfId="738"/>
    <tableColumn id="3" xr3:uid="{891C3041-839A-4A89-8D4E-3D0F31D20C40}" name="Total Votes by Party" totalsRowFunction="custom" dataDxfId="737" totalsRowDxfId="736">
      <calculatedColumnFormula>SUM(MemberOfAssemblyAssemblyDistrict100General[[#This Row],[Part of Orange County Vote Results]:[Part of Sullivan County Vote Results]])</calculatedColumnFormula>
      <totalsRowFormula>SUM(MemberOfAssemblyAssemblyDistrict99General[[#This Row],[Part of Orange County Vote Results]:[Part of Rockland County Vote Results]])</totalsRowFormula>
    </tableColumn>
    <tableColumn id="5" xr3:uid="{BF0C7AE8-F57D-434A-85E3-1F71C8454C49}" name="Total Votes by Candidate" dataDxfId="735" totalsRowDxfId="734"/>
  </tableColumns>
  <tableStyleInfo name="TableStyleMedium2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0" xr:uid="{97ADB344-15FF-4536-8A68-555E3F651F30}" name="MemberOfAssemblyAssemblyDistrict101General" displayName="MemberOfAssemblyAssemblyDistrict101General" ref="A2:J13" totalsRowCount="1" headerRowDxfId="733" dataDxfId="731" headerRowBorderDxfId="732" tableBorderDxfId="730" totalsRowBorderDxfId="729">
  <autoFilter ref="A2:J12" xr:uid="{879D58E5-43D4-4437-B9F1-EC5E7D6959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3CE874A-3519-4A5A-B8E6-F7652EB5ED46}" name="Candidate Name (Party)" totalsRowLabel="Total Votes by County" dataDxfId="728" totalsRowDxfId="727"/>
    <tableColumn id="2" xr3:uid="{92380600-09E2-43DE-9293-8B84EA87ABC4}" name="Part of Delaware County Vote Results" totalsRowFunction="sum" dataDxfId="726" totalsRowDxfId="725"/>
    <tableColumn id="10" xr3:uid="{E9C4DF6F-CF28-4D08-823F-0FECF6A1637B}" name="Part of Herkimer County Vote Results" dataDxfId="724" totalsRowDxfId="723"/>
    <tableColumn id="9" xr3:uid="{8CE858F7-082A-4A4F-9F9F-05432A6A1FC9}" name="Part of Oneida County Vote Results" dataDxfId="722" totalsRowDxfId="721"/>
    <tableColumn id="8" xr3:uid="{3E3A5E6B-BE3F-4819-8FC8-50EE754F34CB}" name="Part of Orange County Vote Results" dataDxfId="720" totalsRowDxfId="719"/>
    <tableColumn id="7" xr3:uid="{672863F6-F45E-4035-8903-078E31DBE339}" name="Part of Otsego County Vote Results" dataDxfId="718" totalsRowDxfId="717"/>
    <tableColumn id="6" xr3:uid="{8FC1A0BD-7AF6-4C5F-8590-A744092C1C00}" name="Part of Sullivan County Vote Results" dataDxfId="716" totalsRowDxfId="715"/>
    <tableColumn id="4" xr3:uid="{C283AE54-E3F1-4F44-B8B2-E4A89DD6DCEB}" name="Part of Ulster County Vote Results" totalsRowFunction="sum" dataDxfId="714" totalsRowDxfId="713"/>
    <tableColumn id="3" xr3:uid="{C5C24520-F9C9-47FB-A0BF-F79A5E220882}" name="Total Votes by Party" dataDxfId="712">
      <calculatedColumnFormula>SUM(MemberOfAssemblyAssemblyDistrict101General[[#This Row],[Part of Delaware County Vote Results]:[Part of Ulster County Vote Results]])</calculatedColumnFormula>
    </tableColumn>
    <tableColumn id="5" xr3:uid="{1EC0B5C6-D469-45DB-818D-261ACD98D973}" name="Total Votes by Candidate" dataDxfId="711"/>
  </tableColumns>
  <tableStyleInfo name="TableStyleMedium2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1" xr:uid="{3026C122-3173-4311-89F1-9F7C726605FD}" name="MemberOfAssemblyAssemblyDistrict102General" displayName="MemberOfAssemblyAssemblyDistrict102General" ref="A2:J13" totalsRowCount="1" headerRowDxfId="710" dataDxfId="708" headerRowBorderDxfId="709" tableBorderDxfId="707" totalsRowBorderDxfId="706">
  <autoFilter ref="A2:J12" xr:uid="{67401BB3-CFC4-47CC-B246-2E1D572C3D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8D79C0C-1193-45F2-99FC-3EEDA0041DB6}" name="Candidate Name (Party)" totalsRowLabel="Total Votes by County" dataDxfId="705" totalsRowDxfId="704"/>
    <tableColumn id="2" xr3:uid="{159F32DE-1CD4-4426-98EC-9A9ABC67B1B0}" name="Greene County Vote Results" totalsRowFunction="sum" dataDxfId="703" totalsRowDxfId="702"/>
    <tableColumn id="10" xr3:uid="{C5B3E585-FE3C-49B6-9C32-AA8893EAC607}" name="Schoharie County Vote Results" dataDxfId="701" totalsRowDxfId="700"/>
    <tableColumn id="9" xr3:uid="{CB9863CD-C74A-48EA-9D3F-32CCBF4C4D8D}" name="Part of Albany County Vote Results" dataDxfId="699" totalsRowDxfId="698"/>
    <tableColumn id="8" xr3:uid="{5E343521-440F-4795-8A07-796353C79BE6}" name="Part of Columbia County Vote Results" dataDxfId="697" totalsRowDxfId="696"/>
    <tableColumn id="7" xr3:uid="{CDE81AC3-9525-43DF-916B-0B5CE84DB308}" name="Part of Delaware County Vote Results" dataDxfId="695" totalsRowDxfId="694"/>
    <tableColumn id="6" xr3:uid="{C574B184-5491-4B7D-A6C0-EBEB78E09C1F}" name="Part of Otsego County Vote Results" dataDxfId="693" totalsRowDxfId="692"/>
    <tableColumn id="4" xr3:uid="{162BD3D6-B8F5-496E-AD87-36CFBB00F04A}" name="Part of Ulster County Vote Results" totalsRowFunction="sum" dataDxfId="691" totalsRowDxfId="690"/>
    <tableColumn id="3" xr3:uid="{C166CB74-A3ED-409C-BB61-C05F012E9AB4}" name="Total Votes by Party" dataDxfId="689">
      <calculatedColumnFormula>SUM(MemberOfAssemblyAssemblyDistrict102General[[#This Row],[Greene County Vote Results]:[Part of Ulster County Vote Results]])</calculatedColumnFormula>
    </tableColumn>
    <tableColumn id="5" xr3:uid="{5F2FCD4A-355E-4015-8F40-3B811F6F9B5D}" name="Total Votes by Candidate" dataDxfId="688"/>
  </tableColumns>
  <tableStyleInfo name="TableStyleMedium2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2" xr:uid="{8D5908C3-39AF-4217-B309-CB866F39B3C0}" name="MemberOfAssemblyAssemblyDistrict103General" displayName="MemberOfAssemblyAssemblyDistrict103General" ref="A2:E8" totalsRowCount="1" headerRowDxfId="687" dataDxfId="685" headerRowBorderDxfId="686" tableBorderDxfId="684" totalsRowBorderDxfId="683">
  <autoFilter ref="A2:E7" xr:uid="{F877A077-3BBC-4C6E-88B4-3CF33C7306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34DA60C-F55E-452B-811A-BB9A8C256E85}" name="Candidate Name (Party)" totalsRowLabel="Total Votes by County" dataDxfId="682" totalsRowDxfId="681"/>
    <tableColumn id="2" xr3:uid="{C8035E53-0931-4851-A819-B8DA81925235}" name="Part of Dutchess County Vote Results" totalsRowFunction="sum" dataDxfId="680" totalsRowDxfId="679"/>
    <tableColumn id="4" xr3:uid="{2DD00B07-C572-47AB-9023-F9F224A11BC2}" name="Part of Ulster County Vote Results" totalsRowFunction="sum" dataDxfId="678" totalsRowDxfId="677"/>
    <tableColumn id="3" xr3:uid="{94FBC01B-EEF3-42AD-AEB0-3B5B77BC325F}" name="Total Votes by Party" totalsRowFunction="custom" dataDxfId="676" totalsRowDxfId="675">
      <calculatedColumnFormula>SUM(MemberOfAssemblyAssemblyDistrict103General[[#This Row],[Part of Dutchess County Vote Results]:[Part of Ulster County Vote Results]])</calculatedColumnFormula>
      <totalsRowFormula>SUM(MemberOfAssemblyAssemblyDistrict100General[[#This Row],[Part of Orange County Vote Results]:[Part of Sullivan County Vote Results]])</totalsRowFormula>
    </tableColumn>
    <tableColumn id="5" xr3:uid="{C0E3E25E-9C63-40A9-9B8D-F47056E57A53}" name="Total Votes by Candidate" dataDxfId="674" totalsRowDxfId="673"/>
  </tableColumns>
  <tableStyleInfo name="TableStyleMedium2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3" xr:uid="{4AD0281A-E21F-4B9A-8E0C-ABBFE0DAE05E}" name="MemberOfAssemblyAssemblyDistrict104General" displayName="MemberOfAssemblyAssemblyDistrict104General" ref="A2:F9" totalsRowCount="1" headerRowDxfId="672" dataDxfId="670" headerRowBorderDxfId="671" tableBorderDxfId="669" totalsRowBorderDxfId="668">
  <autoFilter ref="A2:F8" xr:uid="{76D4C6D2-6514-4E33-B8CA-CAAAA53E94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E156591-D132-42E1-922C-03455DE6F72E}" name="Candidate Name (Party)" totalsRowLabel="Total Votes by County" dataDxfId="667" totalsRowDxfId="666"/>
    <tableColumn id="2" xr3:uid="{0F76CF50-0783-4541-AD5F-E21B5E50B997}" name="Part of Dutchess County Vote Results" totalsRowFunction="sum" dataDxfId="665" totalsRowDxfId="664"/>
    <tableColumn id="3" xr3:uid="{260E236A-4D63-4D4F-A836-9457C2B8A3B3}" name="Part of Orange County Vote Results" dataDxfId="663" totalsRowDxfId="662"/>
    <tableColumn id="4" xr3:uid="{6F8D8A48-1FFB-46B5-98AE-A594ACCD460B}" name="Part of Ulster County Vote Results" totalsRowFunction="sum" dataDxfId="661" totalsRowDxfId="660"/>
    <tableColumn id="6" xr3:uid="{D6E1D6D6-411E-4B58-A8B2-03E73545CE23}" name="Total Votes by Party" dataDxfId="659">
      <calculatedColumnFormula>SUM(MemberOfAssemblyAssemblyDistrict104General[[#This Row],[Part of Dutchess County Vote Results]:[Part of Ulster County Vote Results]])</calculatedColumnFormula>
    </tableColumn>
    <tableColumn id="5" xr3:uid="{349AA28F-4354-44A0-8B5B-F063696A6A26}" name="Total Votes by Candidate" dataDxfId="658"/>
  </tableColumns>
  <tableStyleInfo name="TableStyleMedium2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4" xr:uid="{6917FB71-44FF-4D29-BFAD-357E669062AA}" name="MemberOfAssemblyAssemblyDistrict105General" displayName="MemberOfAssemblyAssemblyDistrict105General" ref="A2:D13" totalsRowCount="1" headerRowDxfId="657" dataDxfId="655" headerRowBorderDxfId="656" tableBorderDxfId="654" totalsRowBorderDxfId="653">
  <autoFilter ref="A2:D12" xr:uid="{123EF28F-8EA3-4F75-B5C2-5C0EA23BBC10}">
    <filterColumn colId="0" hiddenButton="1"/>
    <filterColumn colId="1" hiddenButton="1"/>
    <filterColumn colId="2" hiddenButton="1"/>
    <filterColumn colId="3" hiddenButton="1"/>
  </autoFilter>
  <tableColumns count="4">
    <tableColumn id="1" xr3:uid="{E32F5E77-08C9-4FA6-94B0-51FABA0D1D18}" name="Candidate Name (Party)" totalsRowLabel="Total Votes by County" dataDxfId="652" totalsRowDxfId="651"/>
    <tableColumn id="4" xr3:uid="{98AE0F60-8A62-4DF8-8453-121DA64B04B6}" name="Part of Dutchess County Vote Results" totalsRowFunction="custom" dataDxfId="650" totalsRowDxfId="649">
      <totalsRowFormula>SUBTOTAL(109,MemberOfAssemblyAssemblyDistrict105General[Total Votes by Candidate])</totalsRowFormula>
    </tableColumn>
    <tableColumn id="3" xr3:uid="{E935FCBF-6B86-45E0-8202-6C7F05EACD20}" name="Total Votes by Party" dataDxfId="648">
      <calculatedColumnFormula>MemberOfAssemblyAssemblyDistrict105General[[#This Row],[Part of Dutchess County Vote Results]]</calculatedColumnFormula>
    </tableColumn>
    <tableColumn id="2" xr3:uid="{6A255117-BDCE-45A1-9A0A-023514BC073E}" name="Total Votes by Candidate" dataDxfId="647"/>
  </tableColumns>
  <tableStyleInfo name="TableStyleMedium2" showFirstColumn="0" showLastColumn="0" showRowStripes="0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5" xr:uid="{F8894A08-182B-47F7-AEF3-2E77D235B6AD}" name="MemberOfAssemblyAssemblyDistrict106General" displayName="MemberOfAssemblyAssemblyDistrict106General" ref="A2:E13" totalsRowCount="1" headerRowDxfId="646" dataDxfId="644" headerRowBorderDxfId="645" tableBorderDxfId="643" totalsRowBorderDxfId="642">
  <autoFilter ref="A2:E12" xr:uid="{42CA49A3-C0EE-449B-8AEB-31CDBCCA96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73EFA63-AE90-4FD5-B4DC-6F3610E65AC2}" name="Candidate Name (Party)" totalsRowLabel="Total Votes by County" dataDxfId="641" totalsRowDxfId="640"/>
    <tableColumn id="2" xr3:uid="{39FB0E2B-57D0-4C79-8A4E-FD7B6280E587}" name="Part of Columbia County Vote Results" totalsRowFunction="sum" dataDxfId="639" totalsRowDxfId="638"/>
    <tableColumn id="4" xr3:uid="{25D43A18-88E1-4CFE-9023-9DFCC4334169}" name="Part of Dutchess County Vote Results" totalsRowFunction="sum" dataDxfId="637" totalsRowDxfId="636"/>
    <tableColumn id="3" xr3:uid="{DA548FF9-8377-49A2-9DC8-2698945A02C1}" name="Total Votes by Party" dataDxfId="635">
      <calculatedColumnFormula>SUM(MemberOfAssemblyAssemblyDistrict106General[[#This Row],[Part of Columbia County Vote Results]:[Part of Dutchess County Vote Results]])</calculatedColumnFormula>
    </tableColumn>
    <tableColumn id="5" xr3:uid="{4EE3DC70-755D-4FDD-8488-E07E49929BA8}" name="Total Votes by Candidate" dataDxfId="634"/>
  </tableColumns>
  <tableStyleInfo name="TableStyleMedium2" showFirstColumn="0" showLastColumn="0" showRowStripes="0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6" xr:uid="{B23422AC-FB08-4A1A-A569-03E72C609679}" name="MemberOfAssemblyAssemblyDistrict107General" displayName="MemberOfAssemblyAssemblyDistrict107General" ref="A2:F14" totalsRowCount="1" headerRowDxfId="633" dataDxfId="631" headerRowBorderDxfId="632" tableBorderDxfId="630" totalsRowBorderDxfId="629">
  <autoFilter ref="A2:F13" xr:uid="{F6E41C3A-2077-4ECA-A06A-C16955B2C3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A827B46-42E8-4F2D-9790-0D0B204728F3}" name="Candidate Name (Party)" totalsRowLabel="Total Votes by County" dataDxfId="628" totalsRowDxfId="627"/>
    <tableColumn id="2" xr3:uid="{75137BCC-D62E-4C02-B695-9930BF83AA43}" name="Part of Columbia County Vote Results" totalsRowFunction="sum" dataDxfId="626" totalsRowDxfId="625"/>
    <tableColumn id="3" xr3:uid="{65F11032-927A-424B-B0D7-40217FF34ACD}" name="Part of Rensselaer County Vote Results" dataDxfId="624" totalsRowDxfId="623"/>
    <tableColumn id="4" xr3:uid="{C51CE120-BF3C-44B3-AB9D-D50A947DA525}" name="Part of Washington County Vote Results" totalsRowFunction="sum" dataDxfId="622" totalsRowDxfId="621"/>
    <tableColumn id="6" xr3:uid="{604EFF32-6070-4AF6-8A03-2B2E0BF9BE75}" name="Total Votes by Party" dataDxfId="620">
      <calculatedColumnFormula>SUM(MemberOfAssemblyAssemblyDistrict107General[[#This Row],[Part of Columbia County Vote Results]:[Part of Washington County Vote Results]])</calculatedColumnFormula>
    </tableColumn>
    <tableColumn id="5" xr3:uid="{7E58FF9A-20B2-4F57-A9E7-114B6DBC61A6}" name="Total Votes by Candidate" dataDxfId="619"/>
  </tableColumns>
  <tableStyleInfo name="TableStyleMedium2" showFirstColumn="0" showLastColumn="0" showRowStripes="0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7" xr:uid="{2D0B7356-ED0C-4B9A-8541-C8C33ABD45C3}" name="MemberOfAssemblyAssemblyDistrict108General" displayName="MemberOfAssemblyAssemblyDistrict108General" ref="A2:F8" totalsRowCount="1" headerRowDxfId="618" dataDxfId="616" headerRowBorderDxfId="617" tableBorderDxfId="615" totalsRowBorderDxfId="614">
  <autoFilter ref="A2:F7" xr:uid="{C29B89ED-4808-43A2-B07D-91E4CA13D6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AF59BD2-7D97-459C-829A-370547B74AD6}" name="Candidate Name (Party)" totalsRowLabel="Total Votes by County" dataDxfId="613" totalsRowDxfId="612"/>
    <tableColumn id="2" xr3:uid="{C9F0504D-C040-4CC7-B9FE-53B122314090}" name="Part of Albany County Vote Results" totalsRowFunction="sum" dataDxfId="611" totalsRowDxfId="610"/>
    <tableColumn id="3" xr3:uid="{5062540E-4669-4AD7-925B-D9D5C4DA505A}" name="Part of Rensselaer County Vote Results" dataDxfId="609" totalsRowDxfId="608"/>
    <tableColumn id="4" xr3:uid="{FF598EE0-7D02-49FC-8A0D-B301A931D792}" name="Part of Saratoga County Vote Results" totalsRowFunction="sum" dataDxfId="607" totalsRowDxfId="606"/>
    <tableColumn id="6" xr3:uid="{4DAC2DB9-3EAA-44D3-B6CB-F71222A64FFC}" name="Total Votes by Party" totalsRowFunction="custom" dataDxfId="605" totalsRowDxfId="604">
      <calculatedColumnFormula>SUM(MemberOfAssemblyAssemblyDistrict108General[[#This Row],[Part of Albany County Vote Results]:[Part of Saratoga County Vote Results]])</calculatedColumnFormula>
      <totalsRowFormula>SUM(MemberOfAssemblyAssemblyDistrict107General[[#This Row],[Part of Columbia County Vote Results]:[Part of Washington County Vote Results]])</totalsRowFormula>
    </tableColumn>
    <tableColumn id="5" xr3:uid="{FD81F9EC-4E73-4253-B293-C073D3287B9F}" name="Total Votes by Candidate" dataDxfId="603" totalsRowDxfId="602"/>
  </tableColumns>
  <tableStyleInfo name="TableStyleMedium2" showFirstColumn="0" showLastColumn="0" showRowStripes="0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8" xr:uid="{7EF704EC-CCF6-4A5B-BEA9-947FC7BEC321}" name="MemberOfAssemblyAssemblyDistrict109General" displayName="MemberOfAssemblyAssemblyDistrict109General" ref="A2:D11" totalsRowCount="1" headerRowDxfId="601" dataDxfId="599" headerRowBorderDxfId="600" tableBorderDxfId="598" totalsRowBorderDxfId="597">
  <autoFilter ref="A2:D10" xr:uid="{B6103988-1753-4CD3-AC96-0B68F1B36E03}">
    <filterColumn colId="0" hiddenButton="1"/>
    <filterColumn colId="1" hiddenButton="1"/>
    <filterColumn colId="2" hiddenButton="1"/>
    <filterColumn colId="3" hiddenButton="1"/>
  </autoFilter>
  <tableColumns count="4">
    <tableColumn id="1" xr3:uid="{2F684656-4B3C-4572-BED5-70D295C824D9}" name="Candidate Name (Party)" totalsRowLabel="Total Votes by County" dataDxfId="596" totalsRowDxfId="595"/>
    <tableColumn id="4" xr3:uid="{E3C59803-FF48-4B4D-9346-E42B3914C6DF}" name="Part of Albany County Vote Results" totalsRowFunction="custom" dataDxfId="594" totalsRowDxfId="593">
      <totalsRowFormula>SUBTOTAL(109,MemberOfAssemblyAssemblyDistrict109General[Total Votes by Candidate])</totalsRowFormula>
    </tableColumn>
    <tableColumn id="3" xr3:uid="{6737EB50-3E14-447F-B32C-3C7ED35CA76C}" name="Total Votes by Party" dataDxfId="592">
      <calculatedColumnFormula>MemberOfAssemblyAssemblyDistrict109General[[#This Row],[Part of Albany County Vote Results]]</calculatedColumnFormula>
    </tableColumn>
    <tableColumn id="2" xr3:uid="{081D0342-4AE4-4C04-80A3-3F125B589D51}" name="Total Votes by Candidate" dataDxfId="591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7" xr:uid="{B9D7DEE7-F119-4DDD-A2E6-D29226465AE4}" name="MemberOfAssemblyAssemblyDistrict11General" displayName="MemberOfAssemblyAssemblyDistrict11General" ref="A2:D12" totalsRowCount="1" headerRowDxfId="1833" dataDxfId="1831" headerRowBorderDxfId="1832" tableBorderDxfId="1830" totalsRowBorderDxfId="1829">
  <autoFilter ref="A2:D11" xr:uid="{212023E2-08E4-4969-BB5F-778E517EF91F}">
    <filterColumn colId="0" hiddenButton="1"/>
    <filterColumn colId="1" hiddenButton="1"/>
    <filterColumn colId="2" hiddenButton="1"/>
    <filterColumn colId="3" hiddenButton="1"/>
  </autoFilter>
  <tableColumns count="4">
    <tableColumn id="1" xr3:uid="{DC4AB324-9562-4121-A6D6-FF33A60850C1}" name="Candidate Name (Party)" totalsRowLabel="Total Votes by County" dataDxfId="1828" totalsRowDxfId="1827"/>
    <tableColumn id="4" xr3:uid="{DEB66EBD-9D9C-4285-A2D6-BEB9BEB999EB}" name="Part of Suffolk County Vote Results" totalsRowFunction="custom" dataDxfId="1826" totalsRowDxfId="1825">
      <totalsRowFormula>SUBTOTAL(109,MemberOfAssemblyAssemblyDistrict11General[Total Votes by Candidate])</totalsRowFormula>
    </tableColumn>
    <tableColumn id="3" xr3:uid="{CF853413-BDFB-4A91-8513-D2B81713A74F}" name="Total Votes by Party" totalsRowFunction="custom" dataDxfId="1824" totalsRowDxfId="1823">
      <calculatedColumnFormula>MemberOfAssemblyAssemblyDistrict11General[[#This Row],[Part of Suffolk County Vote Results]]</calculatedColumnFormula>
      <totalsRowFormula>SUM(MemberOfAssemblyAssemblyDistrict9General[[#This Row],[Part of Nassau County Vote Results]:[Part of Suffolk County Vote Results]])</totalsRowFormula>
    </tableColumn>
    <tableColumn id="2" xr3:uid="{B3FA0DBF-9E46-4BF4-B81A-D26617E4D441}" name="Total Votes by Candidate" dataDxfId="1822" totalsRowDxfId="1821"/>
  </tableColumns>
  <tableStyleInfo name="TableStyleMedium2" showFirstColumn="0" showLastColumn="0" showRowStripes="0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9" xr:uid="{747D0478-2F19-48CD-ABC4-95155C520A33}" name="MemberOfAssemblyAssemblyDistrict110General" displayName="MemberOfAssemblyAssemblyDistrict110General" ref="A2:E13" totalsRowCount="1" headerRowDxfId="590" dataDxfId="588" headerRowBorderDxfId="589" tableBorderDxfId="587" totalsRowBorderDxfId="586">
  <autoFilter ref="A2:E12" xr:uid="{4EFBE242-DA60-4DBB-AA86-D55441AC4C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D6B51C8-68A7-481F-A56A-25A15B98A31F}" name="Candidate Name (Party)" totalsRowLabel="Total Votes by County" dataDxfId="585" totalsRowDxfId="584"/>
    <tableColumn id="2" xr3:uid="{4379AA97-7638-43C9-902D-AB2B33F0BD3E}" name="Part of Albany County Vote Results" totalsRowFunction="sum" dataDxfId="583" totalsRowDxfId="582"/>
    <tableColumn id="4" xr3:uid="{EDB186EC-2C6A-4CB2-AD9A-1E5EE07C8EF9}" name="Part of Schenectady County Vote Results" totalsRowFunction="sum" dataDxfId="581" totalsRowDxfId="580"/>
    <tableColumn id="3" xr3:uid="{6FD34B67-98CB-4539-9AC1-D0AB1E1AD4AD}" name="Total Votes by Party" dataDxfId="579">
      <calculatedColumnFormula>SUM(MemberOfAssemblyAssemblyDistrict110General[[#This Row],[Part of Albany County Vote Results]:[Part of Schenectady County Vote Results]])</calculatedColumnFormula>
    </tableColumn>
    <tableColumn id="5" xr3:uid="{35DA5D5E-4E74-4CB0-9032-990577DBD8D8}" name="Total Votes by Candidate" dataDxfId="578"/>
  </tableColumns>
  <tableStyleInfo name="TableStyleMedium2" showFirstColumn="0" showLastColumn="0" showRowStripes="0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0" xr:uid="{C6A986E0-C341-4C10-9D56-F0E18E0049E9}" name="MemberOfAssemblyAssemblyDistrict111General" displayName="MemberOfAssemblyAssemblyDistrict111General" ref="A2:F14" totalsRowCount="1" headerRowDxfId="577" dataDxfId="575" headerRowBorderDxfId="576" tableBorderDxfId="574" totalsRowBorderDxfId="573">
  <autoFilter ref="A2:F13" xr:uid="{425B5A88-5999-4E2A-809A-6980609376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D425FF5-21B6-4B01-A85D-6D38DF77BA86}" name="Candidate Name (Party)" totalsRowLabel="Total Votes by County" dataDxfId="572" totalsRowDxfId="571"/>
    <tableColumn id="2" xr3:uid="{01727A82-686A-465A-8C65-50DB28F7706C}" name="Montgomery County Vote Results" totalsRowFunction="sum" dataDxfId="570" totalsRowDxfId="569"/>
    <tableColumn id="3" xr3:uid="{2A1AF7C2-8B2C-4C66-98A7-39EDF9B8B687}" name="Part of Albany County Vote Results" dataDxfId="568" totalsRowDxfId="567"/>
    <tableColumn id="4" xr3:uid="{F68E92A0-5205-4018-8BCB-0B043B4B1728}" name="Part of Schenectady County Vote Results" totalsRowFunction="sum" dataDxfId="566" totalsRowDxfId="565"/>
    <tableColumn id="6" xr3:uid="{53811F4C-DA8E-457B-A652-EEC530E9CC27}" name="Total Votes by Party" dataDxfId="564">
      <calculatedColumnFormula>SUM(MemberOfAssemblyAssemblyDistrict111General[[#This Row],[Montgomery County Vote Results]:[Part of Schenectady County Vote Results]])</calculatedColumnFormula>
    </tableColumn>
    <tableColumn id="5" xr3:uid="{FDA94E2D-E4C2-4748-BBF3-41D1EB050E01}" name="Total Votes by Candidate" dataDxfId="563"/>
  </tableColumns>
  <tableStyleInfo name="TableStyleMedium2" showFirstColumn="0" showLastColumn="0" showRowStripes="0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1" xr:uid="{8AACFDE4-0250-4544-80AD-FE14507796CE}" name="MemberOfAssemblyAssemblyDistrict112General" displayName="MemberOfAssemblyAssemblyDistrict112General" ref="A2:E10" totalsRowCount="1" headerRowDxfId="562" dataDxfId="560" headerRowBorderDxfId="561" tableBorderDxfId="559" totalsRowBorderDxfId="558">
  <autoFilter ref="A2:E9" xr:uid="{AEB6AD8F-41D9-4F52-AA49-A973EC22DA2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6DE3C1-F852-4743-A193-D51E46F1164F}" name="Candidate Name (Party)" totalsRowLabel="Total Votes by County" dataDxfId="557" totalsRowDxfId="556"/>
    <tableColumn id="2" xr3:uid="{F9B5B554-E874-4D55-B102-409F9A9E6C1F}" name="Part of Saratoga County Vote Results" totalsRowFunction="sum" dataDxfId="555" totalsRowDxfId="554"/>
    <tableColumn id="4" xr3:uid="{A30CB2AE-9A38-413A-B300-89750C093241}" name="Part of Schenectady County Vote Results" totalsRowFunction="sum" dataDxfId="553" totalsRowDxfId="552"/>
    <tableColumn id="3" xr3:uid="{6A397844-A9B4-46EF-93AF-0DCA912C0895}" name="Total Votes by Party" totalsRowFunction="custom" dataDxfId="551" totalsRowDxfId="550">
      <calculatedColumnFormula>SUM(MemberOfAssemblyAssemblyDistrict112General[[#This Row],[Part of Saratoga County Vote Results]:[Part of Schenectady County Vote Results]])</calculatedColumnFormula>
      <totalsRowFormula>SUM(MemberOfAssemblyAssemblyDistrict111General[[#This Row],[Montgomery County Vote Results]:[Part of Schenectady County Vote Results]])</totalsRowFormula>
    </tableColumn>
    <tableColumn id="5" xr3:uid="{FD216890-BC66-4BFA-A314-5459F874CE15}" name="Total Votes by Candidate" dataDxfId="549" totalsRowDxfId="548"/>
  </tableColumns>
  <tableStyleInfo name="TableStyleMedium2" showFirstColumn="0" showLastColumn="0" showRowStripes="0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2" xr:uid="{58D6E5B6-E7C5-4C09-AB3A-2125852302E4}" name="MemberOfAssemblyAssemblyDistrict113General" displayName="MemberOfAssemblyAssemblyDistrict113General" ref="A2:E11" totalsRowCount="1" headerRowDxfId="547" dataDxfId="545" headerRowBorderDxfId="546" tableBorderDxfId="544" totalsRowBorderDxfId="543">
  <autoFilter ref="A2:E10" xr:uid="{C5231807-5E2F-48D0-B1ED-A433625DFDA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FDFFA9B-DED5-47AE-83D9-D870C7B66ECD}" name="Candidate Name (Party)" totalsRowLabel="Total Votes by County" dataDxfId="542" totalsRowDxfId="541"/>
    <tableColumn id="2" xr3:uid="{3E9AABFB-6BD2-405C-8EFF-72F560FDF1B7}" name="Part of Saratoga County Vote Results" totalsRowFunction="sum" dataDxfId="540" totalsRowDxfId="539"/>
    <tableColumn id="4" xr3:uid="{E568FC90-E076-4619-8F82-84DE8B7D01A8}" name="Part of Washington County Vote Results" totalsRowFunction="sum" dataDxfId="538" totalsRowDxfId="537"/>
    <tableColumn id="3" xr3:uid="{883CDBEF-D424-4B4C-A135-BE005D954568}" name="Total Votes by Party" dataDxfId="536">
      <calculatedColumnFormula>SUM(MemberOfAssemblyAssemblyDistrict113General[[#This Row],[Part of Saratoga County Vote Results]:[Part of Washington County Vote Results]])</calculatedColumnFormula>
    </tableColumn>
    <tableColumn id="5" xr3:uid="{51D313AA-FBBA-436E-983C-76A5FA30100F}" name="Total Votes by Candidate" dataDxfId="535"/>
  </tableColumns>
  <tableStyleInfo name="TableStyleMedium2" showFirstColumn="0" showLastColumn="0" showRowStripes="0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3" xr:uid="{460BB752-BB67-4593-8438-84B69BE57A39}" name="MemberOfAssemblyAssemblyDistrict114General" displayName="MemberOfAssemblyAssemblyDistrict114General" ref="A2:G10" totalsRowCount="1" headerRowDxfId="534" dataDxfId="532" headerRowBorderDxfId="533" tableBorderDxfId="531" totalsRowBorderDxfId="530">
  <autoFilter ref="A2:G9" xr:uid="{67BE3BD8-1F19-41B6-BFDD-A0A626FA3D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7F24110-D4AE-4141-B47A-EA39F2D89343}" name="Candidate Name (Party)" totalsRowLabel="Total Votes by County" dataDxfId="529" totalsRowDxfId="528"/>
    <tableColumn id="2" xr3:uid="{51528B0C-1945-484A-A250-CAF1D233D6D5}" name="Essex County Vote Results" totalsRowFunction="sum" dataDxfId="527" totalsRowDxfId="526"/>
    <tableColumn id="6" xr3:uid="{D0A357DE-DC32-4814-B6B7-04E951CB8F80}" name="Warren County Vote Results" dataDxfId="525" totalsRowDxfId="524"/>
    <tableColumn id="3" xr3:uid="{2A28929D-4EE4-496C-A90D-9FCD621E13E1}" name="Part of Saratoga County Vote Results" dataDxfId="523" totalsRowDxfId="522"/>
    <tableColumn id="4" xr3:uid="{11A8FAD5-FA0F-4237-B028-929E58143293}" name="Part of Washington County Vote Results" totalsRowFunction="sum" dataDxfId="521" totalsRowDxfId="520"/>
    <tableColumn id="7" xr3:uid="{2869CB67-AD56-496F-B1A9-6D40621C372B}" name="Total Votes by Party" totalsRowFunction="custom" dataDxfId="519" totalsRowDxfId="518">
      <calculatedColumnFormula>SUM(MemberOfAssemblyAssemblyDistrict114General[[#This Row],[Essex County Vote Results]:[Part of Washington County Vote Results]])</calculatedColumnFormula>
      <totalsRowFormula>SUM(MemberOfAssemblyAssemblyDistrict113General[[#This Row],[Part of Saratoga County Vote Results]:[Part of Washington County Vote Results]])</totalsRowFormula>
    </tableColumn>
    <tableColumn id="5" xr3:uid="{4577EBA5-9BF1-4F4B-A127-AFFAAEA29E6F}" name="Total Votes by Candidate" dataDxfId="517" totalsRowDxfId="516"/>
  </tableColumns>
  <tableStyleInfo name="TableStyleMedium2" showFirstColumn="0" showLastColumn="0" showRowStripes="0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4" xr:uid="{CD63CC46-7B9B-4E2D-8649-5319AC22EE3E}" name="MemberOfAssemblyAssemblyDistrict115General" displayName="MemberOfAssemblyAssemblyDistrict115General" ref="A2:F9" totalsRowCount="1" headerRowDxfId="515" dataDxfId="513" headerRowBorderDxfId="514" tableBorderDxfId="512" totalsRowBorderDxfId="511">
  <autoFilter ref="A2:F8" xr:uid="{61FCEA4D-EEC4-47EF-903F-4533D1C4F7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FAB3A7F-8A4C-4C14-B992-35708CC20E78}" name="Candidate Name (Party)" totalsRowLabel="Total Votes by County" dataDxfId="510" totalsRowDxfId="509"/>
    <tableColumn id="2" xr3:uid="{D86D4924-455F-451D-B329-BB6B3CEB7BB6}" name="Clinton County Vote Results" totalsRowFunction="sum" dataDxfId="508" totalsRowDxfId="507"/>
    <tableColumn id="3" xr3:uid="{E7EA774E-07AA-4888-B28D-FB934F24E29C}" name="Franklin County Vote Results" dataDxfId="506" totalsRowDxfId="505"/>
    <tableColumn id="4" xr3:uid="{C6388060-51F3-4E92-863F-A0D147E355FA}" name="Part of St. Lawrence County Vote Results" totalsRowFunction="sum" dataDxfId="504" totalsRowDxfId="503"/>
    <tableColumn id="6" xr3:uid="{7B111529-5D1F-4ADC-BBEA-431DB3AEF64D}" name="Total Votes by Party" totalsRowFunction="custom" dataDxfId="502" totalsRowDxfId="501">
      <calculatedColumnFormula>SUM(MemberOfAssemblyAssemblyDistrict115General[[#This Row],[Clinton County Vote Results]:[Part of St. Lawrence County Vote Results]])</calculatedColumnFormula>
      <totalsRowFormula>SUM(MemberOfAssemblyAssemblyDistrict114General[[#This Row],[Essex County Vote Results]:[Part of Washington County Vote Results]])</totalsRowFormula>
    </tableColumn>
    <tableColumn id="5" xr3:uid="{2B44562F-27A7-46C5-B02F-4B4146D84262}" name="Total Votes by Candidate" dataDxfId="500" totalsRowDxfId="499">
      <calculatedColumnFormula>SUM(E3:E5)</calculatedColumnFormula>
    </tableColumn>
  </tableColumns>
  <tableStyleInfo name="TableStyleMedium2" showFirstColumn="0" showLastColumn="0" showRowStripes="0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5" xr:uid="{CC7BDF7B-DF6F-4A67-AC0B-2835383D0C50}" name="MemberOfAssemblyAssemblyDistrict116General" displayName="MemberOfAssemblyAssemblyDistrict116General" ref="A2:E12" totalsRowCount="1" headerRowDxfId="498" dataDxfId="496" headerRowBorderDxfId="497" tableBorderDxfId="495" totalsRowBorderDxfId="494">
  <autoFilter ref="A2:E11" xr:uid="{CE67F26A-F9F7-4951-95FC-3706B4729C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9846E9-AFC2-44DC-A832-617F5470343A}" name="Candidate Name (Party)" totalsRowLabel="Total Votes by County" dataDxfId="493" totalsRowDxfId="492"/>
    <tableColumn id="2" xr3:uid="{7C2EACA3-905B-4E10-94F5-1233BBAFD44A}" name="Part of Jefferson County Vote Results" totalsRowFunction="sum" dataDxfId="491" totalsRowDxfId="490"/>
    <tableColumn id="4" xr3:uid="{BC78D15B-ED77-42DF-8FEF-02EF2132DEB4}" name="Part of St. Lawrence County Vote Results" totalsRowFunction="sum" dataDxfId="489" totalsRowDxfId="488"/>
    <tableColumn id="3" xr3:uid="{36231051-200E-4EE0-8935-F4FAA4BAE943}" name="Total Votes by Party" dataDxfId="487">
      <calculatedColumnFormula>SUM(MemberOfAssemblyAssemblyDistrict116General[[#This Row],[Part of Jefferson County Vote Results]:[Part of St. Lawrence County Vote Results]])</calculatedColumnFormula>
    </tableColumn>
    <tableColumn id="5" xr3:uid="{A4B0F1AF-1492-466D-BEF0-C267DA62D005}" name="Total Votes by Candidate" dataDxfId="486"/>
  </tableColumns>
  <tableStyleInfo name="TableStyleMedium2" showFirstColumn="0" showLastColumn="0" showRowStripes="0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6" xr:uid="{DF3C59F3-6F6C-48D7-B4A8-84F3D0E5D0D9}" name="MemberOfAssemblyAssemblyDistrict117General" displayName="MemberOfAssemblyAssemblyDistrict117General" ref="A2:G9" totalsRowCount="1" headerRowDxfId="485" dataDxfId="483" headerRowBorderDxfId="484" tableBorderDxfId="482" totalsRowBorderDxfId="481">
  <autoFilter ref="A2:G8" xr:uid="{6D8F459E-AB91-41BE-AAE8-695C944495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7275788-F5DD-438F-A30A-5B437E675015}" name="Candidate Name (Party)" totalsRowLabel="Total Votes by County" dataDxfId="480" totalsRowDxfId="479"/>
    <tableColumn id="2" xr3:uid="{C2B5DC48-B9D8-4D68-9761-B66F99AD3CD1}" name="Lewis County Vote Results" totalsRowFunction="sum" dataDxfId="478" totalsRowDxfId="477"/>
    <tableColumn id="6" xr3:uid="{9A0F6AAC-CA4F-4965-B978-19F4582D7084}" name="Part of Jefferson County Vote Results" dataDxfId="476" totalsRowDxfId="475"/>
    <tableColumn id="3" xr3:uid="{9A3F0E14-4B13-4A33-ABDD-AEDA59CC89CA}" name="Part of Oneida County Vote Results" dataDxfId="474" totalsRowDxfId="473"/>
    <tableColumn id="4" xr3:uid="{66E70F54-32EC-4D6C-AC3B-789E4DFA4B68}" name="Part of St. Lawrence County Vote Results" totalsRowFunction="sum" dataDxfId="472" totalsRowDxfId="471"/>
    <tableColumn id="7" xr3:uid="{69851B00-65E8-4F23-8A84-596EF8FF46CD}" name="Total Votes by Party" totalsRowFunction="custom" dataDxfId="470" totalsRowDxfId="469">
      <calculatedColumnFormula>SUM(MemberOfAssemblyAssemblyDistrict117General[[#This Row],[Lewis County Vote Results]:[Part of St. Lawrence County Vote Results]])</calculatedColumnFormula>
      <totalsRowFormula>SUM(MemberOfAssemblyAssemblyDistrict116General[[#This Row],[Part of Jefferson County Vote Results]:[Part of St. Lawrence County Vote Results]])</totalsRowFormula>
    </tableColumn>
    <tableColumn id="5" xr3:uid="{F1B842BC-080E-41E5-A94B-3D178138C26A}" name="Total Votes by Candidate" dataDxfId="468" totalsRowDxfId="467"/>
  </tableColumns>
  <tableStyleInfo name="TableStyleMedium2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7" xr:uid="{9E144B34-B93E-4D3C-9609-0B7442859A76}" name="MemberOfAssemblyAssemblyDistrict118General" displayName="MemberOfAssemblyAssemblyDistrict118General" ref="A2:H11" totalsRowCount="1" headerRowDxfId="466" dataDxfId="464" headerRowBorderDxfId="465" tableBorderDxfId="463" totalsRowBorderDxfId="462">
  <autoFilter ref="A2:H10" xr:uid="{7EC11E91-C20D-4D12-94FD-D9D3AAB366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25EA453-E732-4BA1-BBD1-7D1EBF2B1F75}" name="Candidate Name (Party)" totalsRowLabel="Total Votes by County" dataDxfId="461" totalsRowDxfId="460"/>
    <tableColumn id="2" xr3:uid="{7BC98801-341D-4EFC-A12E-CA89E60A6FAD}" name="Fulton County Vote Results" totalsRowFunction="sum" dataDxfId="459" totalsRowDxfId="458"/>
    <tableColumn id="6" xr3:uid="{D29C0D20-5307-4870-AD1D-2685C2DEF3F5}" name="Hamilton County Vote Results" dataDxfId="457" totalsRowDxfId="456"/>
    <tableColumn id="7" xr3:uid="{1EA44028-F5E2-4B7F-8023-7AE150C2298E}" name="Part of Herkimer County Vote Results" dataDxfId="455" totalsRowDxfId="454"/>
    <tableColumn id="3" xr3:uid="{AB880B8B-46E5-45A7-ADEA-53EA610000D4}" name="Part of Oneida County Vote Results" dataDxfId="453" totalsRowDxfId="452"/>
    <tableColumn id="4" xr3:uid="{19E8A982-FC82-496E-9D5D-859636E3BB71}" name="Part of St. Lawrence County Vote Results" totalsRowFunction="sum" dataDxfId="451" totalsRowDxfId="450"/>
    <tableColumn id="8" xr3:uid="{DCFF6263-6C36-4A13-B3E3-D4CBF26A0CB2}" name="Total Votes by Party" dataDxfId="449">
      <calculatedColumnFormula>SUM(MemberOfAssemblyAssemblyDistrict118General[[#This Row],[Fulton County Vote Results]:[Part of St. Lawrence County Vote Results]])</calculatedColumnFormula>
    </tableColumn>
    <tableColumn id="5" xr3:uid="{1E6390F0-9E22-43DC-8D23-C43764B419FC}" name="Total Votes by Candidate" dataDxfId="448"/>
  </tableColumns>
  <tableStyleInfo name="TableStyleMedium2" showFirstColumn="0" showLastColumn="0" showRowStripes="0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8" xr:uid="{D64AC4B7-B841-41E1-8083-4A2DF21F7303}" name="MemberOfAssemblyAssemblyDistrict119General" displayName="MemberOfAssemblyAssemblyDistrict119General" ref="A2:E11" totalsRowCount="1" headerRowDxfId="447" dataDxfId="445" headerRowBorderDxfId="446" tableBorderDxfId="444" totalsRowBorderDxfId="443">
  <autoFilter ref="A2:E10" xr:uid="{A85E9E46-A4EA-4B4C-9BA9-C51E7A5B06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D3B95D8-5B28-4B14-8744-6D38A92A7684}" name="Candidate Name (Party)" totalsRowLabel="Total Votes by County" dataDxfId="442" totalsRowDxfId="441"/>
    <tableColumn id="2" xr3:uid="{981444CA-0AC1-4F9D-982B-267EC37A6542}" name="Part of Herkimer County Vote Results" totalsRowFunction="sum" dataDxfId="440" totalsRowDxfId="439"/>
    <tableColumn id="4" xr3:uid="{87C35B6A-2440-42AF-AC64-C412674AB176}" name="Part of Oneida County Vote Results" totalsRowFunction="sum" dataDxfId="438" totalsRowDxfId="437"/>
    <tableColumn id="3" xr3:uid="{54BAEB62-FAA9-4597-A73A-7D6DC097857C}" name="Total Votes by Party" dataDxfId="436">
      <calculatedColumnFormula>SUM(MemberOfAssemblyAssemblyDistrict119General[[#This Row],[Part of Herkimer County Vote Results]:[Part of Oneida County Vote Results]])</calculatedColumnFormula>
    </tableColumn>
    <tableColumn id="5" xr3:uid="{F1A1FF72-455F-4E24-8D05-C1B87A3A0A17}" name="Total Votes by Candidate" dataDxfId="435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8" xr:uid="{C9FBBC93-F05F-40CC-8DCD-5097B448FCCE}" name="MemberOfAssemblyAssemblyDistrict12General" displayName="MemberOfAssemblyAssemblyDistrict12General" ref="A2:D11" totalsRowCount="1" headerRowDxfId="1820" dataDxfId="1818" headerRowBorderDxfId="1819" tableBorderDxfId="1817" totalsRowBorderDxfId="1816">
  <autoFilter ref="A2:D10" xr:uid="{D2E59698-95B0-470C-BD4B-D67BCE8889EB}">
    <filterColumn colId="0" hiddenButton="1"/>
    <filterColumn colId="1" hiddenButton="1"/>
    <filterColumn colId="2" hiddenButton="1"/>
    <filterColumn colId="3" hiddenButton="1"/>
  </autoFilter>
  <tableColumns count="4">
    <tableColumn id="1" xr3:uid="{439FDB96-C776-494D-8EA7-D00C634A6E91}" name="Candidate Name (Party)" totalsRowLabel="Total Votes by County" dataDxfId="1815" totalsRowDxfId="1814"/>
    <tableColumn id="4" xr3:uid="{0EB62BBC-31F7-4220-B41A-22D89F408E3F}" name="Part of Suffolk County Vote Results" totalsRowFunction="custom" dataDxfId="1813" totalsRowDxfId="1812">
      <totalsRowFormula>SUBTOTAL(109,MemberOfAssemblyAssemblyDistrict12General[Total Votes by Candidate])</totalsRowFormula>
    </tableColumn>
    <tableColumn id="3" xr3:uid="{3D8D3CC7-5DB6-4869-89D9-DBD5C498A5D1}" name="Total Votes by Party" totalsRowFunction="custom" dataDxfId="1811" totalsRowDxfId="1810">
      <calculatedColumnFormula>MemberOfAssemblyAssemblyDistrict12General[[#This Row],[Part of Suffolk County Vote Results]]</calculatedColumnFormula>
      <totalsRowFormula>MemberOfAssemblyAssemblyDistrict11General[[#This Row],[Part of Suffolk County Vote Results]]</totalsRowFormula>
    </tableColumn>
    <tableColumn id="2" xr3:uid="{E46612E5-EFAB-4F5F-A7D7-1FCA8884DF15}" name="Total Votes by Candidate" dataDxfId="1809" totalsRowDxfId="1808"/>
  </tableColumns>
  <tableStyleInfo name="TableStyleMedium2" showFirstColumn="0" showLastColumn="0" showRowStripes="0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0" xr:uid="{20C5B61E-1E5E-4037-AD5D-14A6EC7F9AE5}" name="MemberOfAssemblyAssemblyDistrict120General" displayName="MemberOfAssemblyAssemblyDistrict120General" ref="A2:F13" totalsRowCount="1" headerRowDxfId="434" dataDxfId="432" headerRowBorderDxfId="433" tableBorderDxfId="431" totalsRowBorderDxfId="430">
  <autoFilter ref="A2:F12" xr:uid="{E7CC8E6A-635A-4976-9E9C-8AB012ADC4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046C378-04E2-4ABB-A6CB-BCB16CF58E4D}" name="Candidate Name (Party)" totalsRowLabel="Total Votes by County" dataDxfId="429" totalsRowDxfId="428"/>
    <tableColumn id="2" xr3:uid="{955BCBEF-4700-4072-A6C4-9484D5DF5FFB}" name="Part of Jefferson County Vote Results" totalsRowFunction="sum" dataDxfId="427" totalsRowDxfId="426"/>
    <tableColumn id="3" xr3:uid="{C8A4C29A-9FF8-4332-B5B1-982F50923117}" name="Part of Onondaga County Vote Results" dataDxfId="425" totalsRowDxfId="424"/>
    <tableColumn id="4" xr3:uid="{0F8B54EC-6373-466E-93B8-8EEE9C36830C}" name="Part of Oswego County Vote Results" totalsRowFunction="sum" dataDxfId="423" totalsRowDxfId="422"/>
    <tableColumn id="6" xr3:uid="{AE32D814-41F0-4462-9F66-E2C86A0EA1BB}" name="Total Votes by Party" dataDxfId="421">
      <calculatedColumnFormula>SUM(MemberOfAssemblyAssemblyDistrict120General[[#This Row],[Part of Jefferson County Vote Results]:[Part of Oswego County Vote Results]])</calculatedColumnFormula>
    </tableColumn>
    <tableColumn id="5" xr3:uid="{B201F95B-0F08-4CC8-8302-2511E2C033A2}" name="Total Votes by Candidate" dataDxfId="420"/>
  </tableColumns>
  <tableStyleInfo name="TableStyleMedium2" showFirstColumn="0" showLastColumn="0" showRowStripes="0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1" xr:uid="{33430A32-9E4B-44BE-AADC-78E9ADA6E225}" name="MemberOfAssemblyAssemblyDistrict121General" displayName="MemberOfAssemblyAssemblyDistrict121General" ref="A2:F10" totalsRowCount="1" headerRowDxfId="419" dataDxfId="417" headerRowBorderDxfId="418" tableBorderDxfId="416" totalsRowBorderDxfId="415">
  <autoFilter ref="A2:F9" xr:uid="{15BA0A46-CE16-4752-926C-21524EFC4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A6044B5-FE65-447A-B38D-8513AE12C575}" name="Candidate Name (Party)" totalsRowLabel="Total Votes by County" dataDxfId="414" totalsRowDxfId="413"/>
    <tableColumn id="2" xr3:uid="{DA0E9C3E-3CB4-42BE-B9D1-4C871F93D750}" name="Madison County Vote Results" totalsRowFunction="sum" dataDxfId="412" totalsRowDxfId="411"/>
    <tableColumn id="3" xr3:uid="{ACC5CEDC-771E-4A5E-B6C8-C317528BC0A4}" name="Part of Oneida County Vote Results" dataDxfId="410" totalsRowDxfId="409"/>
    <tableColumn id="4" xr3:uid="{231DF287-6EBC-47CC-8234-2DBF46664ABB}" name="Part of Otsego County Vote Results" totalsRowFunction="sum" dataDxfId="408" totalsRowDxfId="407"/>
    <tableColumn id="6" xr3:uid="{B5D672D4-DAFC-4690-804A-B3EBB39B708C}" name="Total Votes by Party" totalsRowFunction="custom" dataDxfId="406" totalsRowDxfId="405">
      <calculatedColumnFormula>SUM(MemberOfAssemblyAssemblyDistrict121General[[#This Row],[Madison County Vote Results]:[Part of Otsego County Vote Results]])</calculatedColumnFormula>
      <totalsRowFormula>SUM(MemberOfAssemblyAssemblyDistrict120General[[#This Row],[Part of Jefferson County Vote Results]:[Part of Oswego County Vote Results]])</totalsRowFormula>
    </tableColumn>
    <tableColumn id="5" xr3:uid="{3E128B23-6B22-42DF-9D0D-EAEA3AEA749D}" name="Total Votes by Candidate" dataDxfId="404" totalsRowDxfId="403"/>
  </tableColumns>
  <tableStyleInfo name="TableStyleMedium2" showFirstColumn="0" showLastColumn="0" showRowStripes="0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2" xr:uid="{3D89DE3E-32AD-4563-937A-C90A40AC6C5D}" name="MemberOfAssemblyAssemblyDistrict122General" displayName="MemberOfAssemblyAssemblyDistrict122General" ref="A2:G9" totalsRowCount="1" headerRowDxfId="402" dataDxfId="400" headerRowBorderDxfId="401" tableBorderDxfId="399" totalsRowBorderDxfId="398">
  <autoFilter ref="A2:G8" xr:uid="{4A68D355-5EC9-416A-B4E4-2CFC6D6E7E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239DFFF-3D67-4085-B327-31B54E9BAFF2}" name="Candidate Name (Party)" totalsRowLabel="Total Votes by County" dataDxfId="397" totalsRowDxfId="396"/>
    <tableColumn id="2" xr3:uid="{65C322F2-0F9A-4EE3-A571-F31E2D00A199}" name="Part of Broome County Vote Results" totalsRowFunction="sum" dataDxfId="395" totalsRowDxfId="394"/>
    <tableColumn id="6" xr3:uid="{8F3A3E5B-A50C-4EB8-B16E-97E9B7B46EE2}" name="Part of Chenango County Vote Results" dataDxfId="393" totalsRowDxfId="392"/>
    <tableColumn id="3" xr3:uid="{FC9051CB-BCC0-4DD0-8B6B-A1C68939D790}" name="Part of Delaware County Vote Results" dataDxfId="391" totalsRowDxfId="390"/>
    <tableColumn id="4" xr3:uid="{0B3E5541-B907-4E7B-BF50-5BEDD41776D2}" name="Part of Otsego County Vote Results" totalsRowFunction="sum" dataDxfId="389" totalsRowDxfId="388"/>
    <tableColumn id="7" xr3:uid="{2BE94674-2869-48B6-9C6D-D95C5836B477}" name="Total Votes by Party" totalsRowFunction="custom" dataDxfId="387" totalsRowDxfId="386">
      <calculatedColumnFormula>SUM(MemberOfAssemblyAssemblyDistrict122General[[#This Row],[Part of Broome County Vote Results]:[Part of Otsego County Vote Results]])</calculatedColumnFormula>
      <totalsRowFormula>SUM(MemberOfAssemblyAssemblyDistrict121General[[#This Row],[Madison County Vote Results]:[Part of Otsego County Vote Results]])</totalsRowFormula>
    </tableColumn>
    <tableColumn id="5" xr3:uid="{CBD38E64-28D5-4101-8CAC-2D3134A2AF36}" name="Total Votes by Candidate" dataDxfId="385" totalsRowDxfId="384"/>
  </tableColumns>
  <tableStyleInfo name="TableStyleMedium2" showFirstColumn="0" showLastColumn="0" showRowStripes="0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3" xr:uid="{7AA66B32-DF59-4877-BD9B-F3CEC27BDAF1}" name="MemberOfAssemblyAssemblyDistrict123General" displayName="MemberOfAssemblyAssemblyDistrict123General" ref="A2:D7" totalsRowCount="1" headerRowDxfId="383" dataDxfId="381" headerRowBorderDxfId="382" tableBorderDxfId="380" totalsRowBorderDxfId="379">
  <autoFilter ref="A2:D6" xr:uid="{EB4A7198-1C28-40BC-B31B-03D2757DA304}">
    <filterColumn colId="0" hiddenButton="1"/>
    <filterColumn colId="1" hiddenButton="1"/>
    <filterColumn colId="2" hiddenButton="1"/>
    <filterColumn colId="3" hiddenButton="1"/>
  </autoFilter>
  <tableColumns count="4">
    <tableColumn id="1" xr3:uid="{240334CB-709C-473F-A6E7-3D934B4CBD59}" name="Candidate Name (Party)" totalsRowLabel="Total Votes by County" dataDxfId="378" totalsRowDxfId="377"/>
    <tableColumn id="4" xr3:uid="{AF1A73B4-3D8F-42F4-B41B-CB114DD1B43C}" name="Part of Broome County Vote Results" totalsRowFunction="custom" dataDxfId="376" totalsRowDxfId="375">
      <totalsRowFormula>SUBTOTAL(109,MemberOfAssemblyAssemblyDistrict123General[Total Votes by Candidate])</totalsRowFormula>
    </tableColumn>
    <tableColumn id="3" xr3:uid="{4F461E1E-403C-488C-9B56-8AD562964AAF}" name="Total Votes by Party" totalsRowFunction="custom" dataDxfId="374" totalsRowDxfId="373">
      <calculatedColumnFormula>MemberOfAssemblyAssemblyDistrict123General[[#This Row],[Part of Broome County Vote Results]]</calculatedColumnFormula>
      <totalsRowFormula>SUM(MemberOfAssemblyAssemblyDistrict122General[[#This Row],[Part of Broome County Vote Results]:[Part of Otsego County Vote Results]])</totalsRowFormula>
    </tableColumn>
    <tableColumn id="2" xr3:uid="{C084D141-EFE4-4792-AB00-470A4327CADE}" name="Total Votes by Candidate" dataDxfId="372" totalsRowDxfId="371"/>
  </tableColumns>
  <tableStyleInfo name="TableStyleMedium2" showFirstColumn="0" showLastColumn="0" showRowStripes="0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4" xr:uid="{2CF7422D-2C7F-4FDF-A174-069E2A665EAA}" name="MemberOfAssemblyAssemblyDistrict124General" displayName="MemberOfAssemblyAssemblyDistrict124General" ref="A2:F11" totalsRowCount="1" headerRowDxfId="370" dataDxfId="368" headerRowBorderDxfId="369" tableBorderDxfId="367" totalsRowBorderDxfId="366">
  <autoFilter ref="A2:F10" xr:uid="{8C54C1E6-AB85-47E6-8139-FF5FE2947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551CA16-5E6A-4F06-981A-21424D42FD85}" name="Candidate Name (Party)" totalsRowLabel="Total Votes by County" dataDxfId="365" totalsRowDxfId="364"/>
    <tableColumn id="2" xr3:uid="{AF371C7C-2E3F-490E-97B2-2FA7C2452739}" name="Tioga County Vote Results" totalsRowFunction="sum" dataDxfId="363" totalsRowDxfId="362"/>
    <tableColumn id="3" xr3:uid="{D7D1A846-CB02-40F2-B00D-3A1CF78EECA5}" name="Part of Broome County Vote Results" dataDxfId="361" totalsRowDxfId="360"/>
    <tableColumn id="4" xr3:uid="{60320E3D-BD8B-407E-8D1A-4F0076F3C227}" name="Part of Chemung County Vote Results" totalsRowFunction="sum" dataDxfId="359" totalsRowDxfId="358"/>
    <tableColumn id="6" xr3:uid="{047D42A4-8DE8-4A75-844C-79609AFB3F7E}" name="Total Votes by Party" dataDxfId="357">
      <calculatedColumnFormula>SUM(MemberOfAssemblyAssemblyDistrict124General[[#This Row],[Tioga County Vote Results]:[Part of Chemung County Vote Results]])</calculatedColumnFormula>
    </tableColumn>
    <tableColumn id="5" xr3:uid="{328BB90E-87E9-4D1E-A454-D08A1543F20C}" name="Total Votes by Candidate" dataDxfId="356"/>
  </tableColumns>
  <tableStyleInfo name="TableStyleMedium2" showFirstColumn="0" showLastColumn="0" showRowStripes="0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5" xr:uid="{4E5B20E9-551F-4037-8C83-38C01CAF9A69}" name="MemberOfAssemblyAssemblyDistrict125General" displayName="MemberOfAssemblyAssemblyDistrict125General" ref="A2:E7" totalsRowCount="1" headerRowDxfId="355" dataDxfId="353" headerRowBorderDxfId="354" tableBorderDxfId="352" totalsRowBorderDxfId="351">
  <autoFilter ref="A2:E6" xr:uid="{BBC3EFDF-DCF5-468E-9562-0DC7F15A62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A142544-5882-4CD9-891D-7B6B9413E98D}" name="Candidate Name (Party)" totalsRowLabel="Total Votes by County" dataDxfId="350" totalsRowDxfId="349"/>
    <tableColumn id="2" xr3:uid="{98B28081-3A80-4EE4-B4BB-0A9411A6928E}" name="Tompkins County Vote Results" totalsRowFunction="sum" dataDxfId="348" totalsRowDxfId="347"/>
    <tableColumn id="4" xr3:uid="{EE965856-7FD4-46AF-A7F3-96758A4AE93C}" name="Part of Cortland County Vote Results" totalsRowFunction="sum" dataDxfId="346" totalsRowDxfId="345"/>
    <tableColumn id="3" xr3:uid="{770CED5F-2A90-4E64-A51A-849116FD4C96}" name="Total Votes by Party" totalsRowFunction="custom" dataDxfId="344" totalsRowDxfId="343">
      <calculatedColumnFormula>SUM(MemberOfAssemblyAssemblyDistrict125General[[#This Row],[Tompkins County Vote Results]:[Part of Cortland County Vote Results]])</calculatedColumnFormula>
      <totalsRowFormula>SUM(MemberOfAssemblyAssemblyDistrict124General[[#This Row],[Tioga County Vote Results]:[Part of Chemung County Vote Results]])</totalsRowFormula>
    </tableColumn>
    <tableColumn id="5" xr3:uid="{790CD6C6-1459-4CF8-9CE9-7FF0561EF8FA}" name="Total Votes by Candidate" dataDxfId="342" totalsRowDxfId="341"/>
  </tableColumns>
  <tableStyleInfo name="TableStyleMedium2" showFirstColumn="0" showLastColumn="0" showRowStripes="0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6" xr:uid="{8AF90BCD-E69F-4851-ADE6-767E61791C37}" name="MemberOfAssemblyAssemblyDistrict126General" displayName="MemberOfAssemblyAssemblyDistrict126General" ref="A2:G13" totalsRowCount="1" headerRowDxfId="340" dataDxfId="338" headerRowBorderDxfId="339" tableBorderDxfId="337" totalsRowBorderDxfId="336">
  <autoFilter ref="A2:G12" xr:uid="{26FD3B1E-1D69-48E0-AA59-44E37FEF64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0275B8B-C92C-4E2A-BD1A-C4E172CD6C79}" name="Candidate Name (Party)" totalsRowLabel="Total Votes by County" dataDxfId="335" totalsRowDxfId="334"/>
    <tableColumn id="2" xr3:uid="{AD941592-68A2-4985-866C-E398178C892E}" name="Part of Cayuga County Vote Results" totalsRowFunction="sum" dataDxfId="333" totalsRowDxfId="332"/>
    <tableColumn id="6" xr3:uid="{483E640C-3D0E-44ED-8ECC-30D71301D8ED}" name="Part of Chenango County Vote Results" dataDxfId="331" totalsRowDxfId="330"/>
    <tableColumn id="3" xr3:uid="{C3521B0E-E897-4FD4-A32B-9573D5F955B3}" name="Part of Cortland County Vote Results" dataDxfId="329" totalsRowDxfId="328"/>
    <tableColumn id="4" xr3:uid="{12A3B7F4-E529-47E7-90AB-2A70EA94400E}" name="Part of Onondaga County Vote Results" totalsRowFunction="sum" dataDxfId="327" totalsRowDxfId="326"/>
    <tableColumn id="7" xr3:uid="{CD105524-64F1-425C-93C4-24402A398FB8}" name="Total Votes by Party" dataDxfId="325">
      <calculatedColumnFormula>SUM(MemberOfAssemblyAssemblyDistrict126General[[#This Row],[Part of Cayuga County Vote Results]:[Part of Onondaga County Vote Results]])</calculatedColumnFormula>
    </tableColumn>
    <tableColumn id="5" xr3:uid="{DAE4F82B-699F-4D74-B734-27327B1DC430}" name="Total Votes by Candidate" dataDxfId="324"/>
  </tableColumns>
  <tableStyleInfo name="TableStyleMedium2" showFirstColumn="0" showLastColumn="0" showRowStripes="0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7" xr:uid="{C46BD334-79E2-4F5D-8C3E-F103504FE9CE}" name="MemberOfAssemblyAssemblyDistrict127General" displayName="MemberOfAssemblyAssemblyDistrict127General" ref="A2:D13" totalsRowCount="1" headerRowDxfId="323" dataDxfId="321" headerRowBorderDxfId="322" tableBorderDxfId="320" totalsRowBorderDxfId="319">
  <autoFilter ref="A2:D12" xr:uid="{C0962221-65DA-4ACE-BE29-C1598EB7E66B}">
    <filterColumn colId="0" hiddenButton="1"/>
    <filterColumn colId="1" hiddenButton="1"/>
    <filterColumn colId="2" hiddenButton="1"/>
    <filterColumn colId="3" hiddenButton="1"/>
  </autoFilter>
  <tableColumns count="4">
    <tableColumn id="1" xr3:uid="{9A9DB9A4-26E9-499D-B75A-151961A90EE5}" name="Candidate Name (Party)" totalsRowLabel="Total Votes by County" dataDxfId="318" totalsRowDxfId="317"/>
    <tableColumn id="4" xr3:uid="{DF35D43B-B9EB-4EBF-B18F-72E353E98B95}" name="Part of Onondaga County Vote Results" totalsRowFunction="custom" dataDxfId="316" totalsRowDxfId="315">
      <totalsRowFormula>SUBTOTAL(109,MemberOfAssemblyAssemblyDistrict127General[Total Votes by Candidate])</totalsRowFormula>
    </tableColumn>
    <tableColumn id="3" xr3:uid="{7248F472-E5B9-4D34-8D35-100CDB02890F}" name="Total Votes by Party" dataDxfId="314">
      <calculatedColumnFormula>MemberOfAssemblyAssemblyDistrict127General[[#This Row],[Part of Onondaga County Vote Results]]</calculatedColumnFormula>
    </tableColumn>
    <tableColumn id="2" xr3:uid="{78B11C4D-DFDF-4223-94A8-1DD1A3AE3FEB}" name="Total Votes by Candidate" dataDxfId="313"/>
  </tableColumns>
  <tableStyleInfo name="TableStyleMedium2" showFirstColumn="0" showLastColumn="0" showRowStripes="0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8" xr:uid="{28C33531-B6A2-4C53-80B7-07C61AFAB77D}" name="MemberOfAssemblyAssemblyDistrict128General" displayName="MemberOfAssemblyAssemblyDistrict128General" ref="A2:D10" totalsRowCount="1" headerRowDxfId="312" dataDxfId="310" headerRowBorderDxfId="311" tableBorderDxfId="309" totalsRowBorderDxfId="308">
  <autoFilter ref="A2:D9" xr:uid="{EAD0463A-6BC6-4ECB-A340-F9546BA92F00}">
    <filterColumn colId="0" hiddenButton="1"/>
    <filterColumn colId="1" hiddenButton="1"/>
    <filterColumn colId="2" hiddenButton="1"/>
    <filterColumn colId="3" hiddenButton="1"/>
  </autoFilter>
  <tableColumns count="4">
    <tableColumn id="1" xr3:uid="{527F38A3-96DB-4B0A-86B4-1DDD02A567FC}" name="Candidate Name (Party)" totalsRowLabel="Total Votes by County" dataDxfId="307" totalsRowDxfId="306"/>
    <tableColumn id="4" xr3:uid="{8EA84E8F-A381-4BA3-B271-B7635927EFFA}" name="Part of Onondaga County Vote Results" totalsRowFunction="custom" dataDxfId="305" totalsRowDxfId="304">
      <totalsRowFormula>SUBTOTAL(109,MemberOfAssemblyAssemblyDistrict128General[Total Votes by Candidate])</totalsRowFormula>
    </tableColumn>
    <tableColumn id="3" xr3:uid="{ABBDCC3F-B171-4048-B8AE-91F388150233}" name="Total Votes by Party" totalsRowFunction="custom" dataDxfId="303" totalsRowDxfId="302">
      <calculatedColumnFormula>MemberOfAssemblyAssemblyDistrict128General[[#This Row],[Part of Onondaga County Vote Results]]</calculatedColumnFormula>
      <totalsRowFormula>MemberOfAssemblyAssemblyDistrict127General[[#This Row],[Part of Onondaga County Vote Results]]</totalsRowFormula>
    </tableColumn>
    <tableColumn id="2" xr3:uid="{F4629083-CDF2-4312-8B01-2169C32104C2}" name="Total Votes by Candidate" dataDxfId="301" totalsRowDxfId="300"/>
  </tableColumns>
  <tableStyleInfo name="TableStyleMedium2" showFirstColumn="0" showLastColumn="0" showRowStripes="0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9" xr:uid="{FF42F748-2A4E-4964-819A-2DCC145DF5AB}" name="MemberOfAssemblyAssemblyDistrict129General" displayName="MemberOfAssemblyAssemblyDistrict129General" ref="A2:D11" totalsRowCount="1" headerRowDxfId="299" dataDxfId="297" headerRowBorderDxfId="298" tableBorderDxfId="296" totalsRowBorderDxfId="295">
  <autoFilter ref="A2:D10" xr:uid="{F17DF096-FB6A-4785-B4E0-C29538779450}">
    <filterColumn colId="0" hiddenButton="1"/>
    <filterColumn colId="1" hiddenButton="1"/>
    <filterColumn colId="2" hiddenButton="1"/>
    <filterColumn colId="3" hiddenButton="1"/>
  </autoFilter>
  <tableColumns count="4">
    <tableColumn id="1" xr3:uid="{50101A2D-38B9-4F7E-87C1-D0B26A6D7047}" name="Candidate Name (Party)" totalsRowLabel="Total Votes by County" dataDxfId="294" totalsRowDxfId="293"/>
    <tableColumn id="4" xr3:uid="{6EA91A13-BDB4-4BFC-969F-A3B9C3349E55}" name="Part of Onondaga County Vote Results" totalsRowFunction="custom" dataDxfId="292" totalsRowDxfId="291">
      <totalsRowFormula>SUBTOTAL(109,MemberOfAssemblyAssemblyDistrict129General[Total Votes by Candidate])</totalsRowFormula>
    </tableColumn>
    <tableColumn id="3" xr3:uid="{3D6AAD17-5BFC-4A34-BBE9-55C7D58AAC8D}" name="Total Votes by Party" dataDxfId="290">
      <calculatedColumnFormula>MemberOfAssemblyAssemblyDistrict129General[[#This Row],[Part of Onondaga County Vote Results]]</calculatedColumnFormula>
    </tableColumn>
    <tableColumn id="2" xr3:uid="{83A4EB47-8AE0-4B0E-B734-F58EEEF76961}" name="Total Votes by Candidate" dataDxfId="289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9" xr:uid="{5F11B78F-4E0B-4722-9859-81F2F5ED7E16}" name="MemberOfAssemblyAssemblyDistrict13General" displayName="MemberOfAssemblyAssemblyDistrict13General" ref="A2:D12" totalsRowCount="1" headerRowDxfId="1807" dataDxfId="1805" headerRowBorderDxfId="1806" tableBorderDxfId="1804" totalsRowBorderDxfId="1803">
  <autoFilter ref="A2:D11" xr:uid="{5EE8D162-0DA7-4872-A70E-4B2B44EC26B9}">
    <filterColumn colId="0" hiddenButton="1"/>
    <filterColumn colId="1" hiddenButton="1"/>
    <filterColumn colId="2" hiddenButton="1"/>
    <filterColumn colId="3" hiddenButton="1"/>
  </autoFilter>
  <tableColumns count="4">
    <tableColumn id="1" xr3:uid="{9A191D1E-F76F-4C85-87D8-9ED0E254030A}" name="Candidate Name (Party)" totalsRowLabel="Total Votes by County" dataDxfId="1802" totalsRowDxfId="1801"/>
    <tableColumn id="4" xr3:uid="{C4139793-E789-40B9-B509-C342AEB159D1}" name="Part of Nassau County Vote Results" totalsRowFunction="custom" dataDxfId="1800" totalsRowDxfId="1799">
      <totalsRowFormula>SUBTOTAL(109,MemberOfAssemblyAssemblyDistrict13General[Total Votes by Candidate])</totalsRowFormula>
    </tableColumn>
    <tableColumn id="3" xr3:uid="{EC81001B-1B2D-4F88-A33B-3D86151AC439}" name="Total Votes by Party" dataDxfId="1798">
      <calculatedColumnFormula>MemberOfAssemblyAssemblyDistrict13General[[#This Row],[Part of Nassau County Vote Results]]</calculatedColumnFormula>
    </tableColumn>
    <tableColumn id="2" xr3:uid="{6864C8FD-2F16-49DA-87E2-9660D8298E23}" name="Total Votes by Candidate" dataDxfId="1797"/>
  </tableColumns>
  <tableStyleInfo name="TableStyleMedium2" showFirstColumn="0" showLastColumn="0" showRowStripes="0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0" xr:uid="{41F844DF-2961-46EC-9603-1E9819C8101B}" name="MemberOfAssemblyAssemblyDistrict130General" displayName="MemberOfAssemblyAssemblyDistrict130General" ref="A2:F12" totalsRowCount="1" headerRowDxfId="288" dataDxfId="286" headerRowBorderDxfId="287" tableBorderDxfId="285" totalsRowBorderDxfId="284">
  <autoFilter ref="A2:F11" xr:uid="{366EF961-28AF-40FC-86B2-952659696D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2E882C9-791A-4F6E-BA11-F2D27D1EE38E}" name="Candidate Name (Party)" totalsRowLabel="Total Votes by County" dataDxfId="283" totalsRowDxfId="282"/>
    <tableColumn id="2" xr3:uid="{2264887A-0FAC-49BD-9E9B-9724E2F62A1F}" name="Wayne County Vote Results" totalsRowFunction="sum" dataDxfId="281" totalsRowDxfId="280"/>
    <tableColumn id="3" xr3:uid="{B287D7BB-57A9-4860-B1D7-F533F6C5CDE1}" name="Part of Cayuga County Vote Results" dataDxfId="279" totalsRowDxfId="278"/>
    <tableColumn id="4" xr3:uid="{F892406C-D2E0-4D30-8322-42DAE54C532D}" name="Part of Oswego County Vote Results" totalsRowFunction="sum" dataDxfId="277" totalsRowDxfId="276"/>
    <tableColumn id="6" xr3:uid="{ABB8170E-C074-43CF-925B-795B2BC1673A}" name="Total Votes by Party" dataDxfId="275">
      <calculatedColumnFormula>SUM(MemberOfAssemblyAssemblyDistrict130General[[#This Row],[Wayne County Vote Results]:[Part of Oswego County Vote Results]])</calculatedColumnFormula>
    </tableColumn>
    <tableColumn id="5" xr3:uid="{52B1F5AA-B799-49DC-ABF2-DEAF215F5069}" name="Total Votes by Candidate" dataDxfId="274"/>
  </tableColumns>
  <tableStyleInfo name="TableStyleMedium2" showFirstColumn="0" showLastColumn="0" showRowStripes="0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1" xr:uid="{E25161E1-6DBA-4512-9FED-AA2C59CAD85D}" name="MemberOfAssemblyAssemblyDistrict131General" displayName="MemberOfAssemblyAssemblyDistrict131General" ref="A2:E9" totalsRowCount="1" headerRowDxfId="273" dataDxfId="271" headerRowBorderDxfId="272" tableBorderDxfId="270" totalsRowBorderDxfId="269">
  <autoFilter ref="A2:E8" xr:uid="{9B998EDB-6C22-4338-A352-4F99B6C518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3CF9E47-9BD7-4D40-865E-11DCED669DC9}" name="Candidate Name (Party)" totalsRowLabel="Total Votes by County" dataDxfId="268" totalsRowDxfId="267"/>
    <tableColumn id="2" xr3:uid="{DB063E37-DFC0-432F-A8C7-32C4D3C2DF59}" name="Ontario County Vote Results" totalsRowFunction="sum" dataDxfId="266" totalsRowDxfId="265"/>
    <tableColumn id="4" xr3:uid="{A444B650-1E34-4A0C-B5CB-F83DECE239D7}" name="Part of Seneca County Vote Results" totalsRowFunction="sum" dataDxfId="264" totalsRowDxfId="263"/>
    <tableColumn id="3" xr3:uid="{EFA83790-7E79-4949-9744-4BCCCB39EAAD}" name="Total Votes by Party" totalsRowFunction="custom" dataDxfId="262" totalsRowDxfId="261">
      <calculatedColumnFormula>SUM(MemberOfAssemblyAssemblyDistrict131General[[#This Row],[Ontario County Vote Results]:[Part of Seneca County Vote Results]])</calculatedColumnFormula>
      <totalsRowFormula>SUM(MemberOfAssemblyAssemblyDistrict130General[[#This Row],[Wayne County Vote Results]:[Part of Oswego County Vote Results]])</totalsRowFormula>
    </tableColumn>
    <tableColumn id="5" xr3:uid="{ED05D685-2383-4711-997F-5CAD3E3055A1}" name="Total Votes by Candidate" dataDxfId="260" totalsRowDxfId="259"/>
  </tableColumns>
  <tableStyleInfo name="TableStyleMedium2" showFirstColumn="0" showLastColumn="0" showRowStripes="0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2" xr:uid="{FBB833C8-D32A-438B-8E1F-9ABADA452B18}" name="MemberOfAssemblyAssemblyDistrict132General" displayName="MemberOfAssemblyAssemblyDistrict132General" ref="A2:H10" totalsRowCount="1" headerRowDxfId="258" dataDxfId="256" headerRowBorderDxfId="257" tableBorderDxfId="255" totalsRowBorderDxfId="254">
  <autoFilter ref="A2:H9" xr:uid="{D9E396D6-E3F2-4009-AD56-98ED1C79FD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3A3DE9D-CF62-4CA8-9FAD-7A2C2F953CD2}" name="Candidate Name (Party)" totalsRowLabel="Total Votes by County" dataDxfId="253" totalsRowDxfId="252"/>
    <tableColumn id="2" xr3:uid="{F41FFC52-1F23-4740-BA11-0B31A842BAEC}" name="Schuyler County Vote Results" totalsRowFunction="sum" dataDxfId="251" totalsRowDxfId="250"/>
    <tableColumn id="6" xr3:uid="{97D7C51B-0A29-40A3-8BC4-E1B84BAEFC6E}" name="Yates County Vote Results" dataDxfId="249" totalsRowDxfId="248"/>
    <tableColumn id="7" xr3:uid="{99186820-00F7-4368-962B-A91105F6D61D}" name="Part of Chemung County Vote Results" dataDxfId="247" totalsRowDxfId="246"/>
    <tableColumn id="3" xr3:uid="{A74D8E68-AD0B-4224-B968-CF28D66E5115}" name="Part of Seneca County Vote Results" dataDxfId="245" totalsRowDxfId="244"/>
    <tableColumn id="4" xr3:uid="{20150DCB-9974-42FB-B152-28553FAF5826}" name="Part of Steuben County Vote Results" totalsRowFunction="sum" dataDxfId="243" totalsRowDxfId="242"/>
    <tableColumn id="8" xr3:uid="{E6E5E7D3-5B6A-4F6E-9781-422AED1306A0}" name="Total Votes by Party" dataDxfId="241">
      <calculatedColumnFormula>SUM(MemberOfAssemblyAssemblyDistrict132General[[#This Row],[Schuyler County Vote Results]:[Part of Steuben County Vote Results]])</calculatedColumnFormula>
    </tableColumn>
    <tableColumn id="5" xr3:uid="{FEDCD0BE-7CAA-43AE-BBBC-D64A54E09A26}" name="Total Votes by Candidate" dataDxfId="240"/>
  </tableColumns>
  <tableStyleInfo name="TableStyleMedium2" showFirstColumn="0" showLastColumn="0" showRowStripes="0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3" xr:uid="{088E48B7-C8F1-4764-B89E-4FD7A7683C9F}" name="MemberOfAssemblyAssemblyDistrict133General" displayName="MemberOfAssemblyAssemblyDistrict133General" ref="A2:F13" totalsRowCount="1" headerRowDxfId="239" dataDxfId="237" headerRowBorderDxfId="238" tableBorderDxfId="236" totalsRowBorderDxfId="235">
  <autoFilter ref="A2:F12" xr:uid="{860B7522-4AC4-40E4-882A-07CFC38C76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60BCC18-10D3-47CC-8152-7B6C60C1F068}" name="Candidate Name (Party)" totalsRowLabel="Total Votes by County" dataDxfId="234" totalsRowDxfId="233"/>
    <tableColumn id="2" xr3:uid="{DEE599DA-4629-42AA-9867-E5850076D831}" name="Livingston County Vote Results" totalsRowFunction="sum" dataDxfId="232" totalsRowDxfId="231"/>
    <tableColumn id="3" xr3:uid="{EDCA31C7-78F9-4942-BC40-D78EE09FF206}" name="Part of Monroe County Vote Results" dataDxfId="230" totalsRowDxfId="229"/>
    <tableColumn id="4" xr3:uid="{9FEC04FB-6D1B-4EA8-BEDA-5A71D145D192}" name="Part of Steuben County Vote Results" totalsRowFunction="sum" dataDxfId="228" totalsRowDxfId="227"/>
    <tableColumn id="6" xr3:uid="{01AC9308-CB39-48C3-B8D9-6AFFD46ECAF9}" name="Total Votes by Party" dataDxfId="226">
      <calculatedColumnFormula>SUM(MemberOfAssemblyAssemblyDistrict133General[[#This Row],[Livingston County Vote Results]:[Part of Steuben County Vote Results]])</calculatedColumnFormula>
    </tableColumn>
    <tableColumn id="5" xr3:uid="{28B22CBA-6940-4F2E-AF76-11C05E3F53D1}" name="Total Votes by Candidate" dataDxfId="225"/>
  </tableColumns>
  <tableStyleInfo name="TableStyleMedium2" showFirstColumn="0" showLastColumn="0" showRowStripes="0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4" xr:uid="{7ECD91AE-4CD2-4A6C-8BD2-ABF18C1885ED}" name="MemberOfAssemblyAssemblyDistrict134General" displayName="MemberOfAssemblyAssemblyDistrict134General" ref="A2:D10" totalsRowCount="1" headerRowDxfId="224" dataDxfId="222" headerRowBorderDxfId="223" tableBorderDxfId="221" totalsRowBorderDxfId="220">
  <autoFilter ref="A2:D9" xr:uid="{52EEF178-30B9-49E7-AC64-7CB8626191A7}">
    <filterColumn colId="0" hiddenButton="1"/>
    <filterColumn colId="1" hiddenButton="1"/>
    <filterColumn colId="2" hiddenButton="1"/>
    <filterColumn colId="3" hiddenButton="1"/>
  </autoFilter>
  <tableColumns count="4">
    <tableColumn id="1" xr3:uid="{47B18943-2875-4409-9AC8-1DF8250042DE}" name="Candidate Name (Party)" totalsRowLabel="Total Votes by County" dataDxfId="219" totalsRowDxfId="218"/>
    <tableColumn id="4" xr3:uid="{5ECFA244-FC4C-4FAF-B007-BD11C8B8F3C2}" name="Part of Monroe County Vote Results" totalsRowFunction="custom" dataDxfId="217" totalsRowDxfId="216">
      <totalsRowFormula>SUBTOTAL(109,MemberOfAssemblyAssemblyDistrict134General[Total Votes by Candidate])</totalsRowFormula>
    </tableColumn>
    <tableColumn id="3" xr3:uid="{D06871F2-B76B-4640-84A0-958D01B75EAD}" name="Total Votes by Party" totalsRowFunction="custom" dataDxfId="215" totalsRowDxfId="214">
      <calculatedColumnFormula>MemberOfAssemblyAssemblyDistrict134General[[#This Row],[Part of Monroe County Vote Results]]</calculatedColumnFormula>
      <totalsRowFormula>SUM(MemberOfAssemblyAssemblyDistrict133General[[#This Row],[Livingston County Vote Results]:[Part of Steuben County Vote Results]])</totalsRowFormula>
    </tableColumn>
    <tableColumn id="2" xr3:uid="{BA666B66-F77C-4929-B7A5-F21473195E81}" name="Total Votes by Candidate" dataDxfId="213" totalsRowDxfId="212"/>
  </tableColumns>
  <tableStyleInfo name="TableStyleMedium2" showFirstColumn="0" showLastColumn="0" showRowStripes="0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5" xr:uid="{5BA5EFA3-D297-4C89-9329-5B48C1B72ACC}" name="MemberOfAssemblyAssemblyDistrict135General" displayName="MemberOfAssemblyAssemblyDistrict135General" ref="A2:D13" totalsRowCount="1" headerRowDxfId="211" dataDxfId="209" headerRowBorderDxfId="210" tableBorderDxfId="208" totalsRowBorderDxfId="207">
  <autoFilter ref="A2:D12" xr:uid="{D08F31AE-6FD4-4301-9647-C827304B8EB0}">
    <filterColumn colId="0" hiddenButton="1"/>
    <filterColumn colId="1" hiddenButton="1"/>
    <filterColumn colId="2" hiddenButton="1"/>
    <filterColumn colId="3" hiddenButton="1"/>
  </autoFilter>
  <tableColumns count="4">
    <tableColumn id="1" xr3:uid="{ACF1219C-D0D0-4BB9-A6BF-EF04BCC305ED}" name="Candidate Name (Party)" totalsRowLabel="Total Votes by County" dataDxfId="206" totalsRowDxfId="205"/>
    <tableColumn id="4" xr3:uid="{2D8E81D6-7366-4DBF-8B3F-A43E054701CF}" name="Part of Monroe County Vote Results" totalsRowFunction="custom" dataDxfId="204" totalsRowDxfId="203">
      <totalsRowFormula>SUBTOTAL(109,MemberOfAssemblyAssemblyDistrict135General[Total Votes by Candidate])</totalsRowFormula>
    </tableColumn>
    <tableColumn id="3" xr3:uid="{69089848-0425-434A-BAB0-A6131641FE79}" name="Total Votes by Party" dataDxfId="202">
      <calculatedColumnFormula>MemberOfAssemblyAssemblyDistrict135General[[#This Row],[Part of Monroe County Vote Results]]</calculatedColumnFormula>
    </tableColumn>
    <tableColumn id="2" xr3:uid="{AC85BA6D-291E-48A4-85A7-42FF128D4A4C}" name="Total Votes by Candidate" dataDxfId="201"/>
  </tableColumns>
  <tableStyleInfo name="TableStyleMedium2" showFirstColumn="0" showLastColumn="0" showRowStripes="0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6" xr:uid="{D9CD70E7-543C-4D48-8F68-0DC26B53C256}" name="MemberOfAssemblyAssemblyDistrict136General" displayName="MemberOfAssemblyAssemblyDistrict136General" ref="A2:D10" totalsRowCount="1" headerRowDxfId="200" dataDxfId="198" headerRowBorderDxfId="199" tableBorderDxfId="197" totalsRowBorderDxfId="196">
  <autoFilter ref="A2:D9" xr:uid="{A8AF5231-8278-49CA-9700-D9204A02A849}">
    <filterColumn colId="0" hiddenButton="1"/>
    <filterColumn colId="1" hiddenButton="1"/>
    <filterColumn colId="2" hiddenButton="1"/>
    <filterColumn colId="3" hiddenButton="1"/>
  </autoFilter>
  <tableColumns count="4">
    <tableColumn id="1" xr3:uid="{693CEDFB-4210-445D-864B-F1FFCC00267F}" name="Candidate Name (Party)" totalsRowLabel="Total Votes by County" dataDxfId="195" totalsRowDxfId="194"/>
    <tableColumn id="4" xr3:uid="{EEC3850B-1EF9-4558-B3DF-75F20C3D1182}" name="Part of Monroe County Vote Results" totalsRowFunction="custom" dataDxfId="193" totalsRowDxfId="192">
      <totalsRowFormula>SUBTOTAL(109,MemberOfAssemblyAssemblyDistrict136General[Total Votes by Candidate])</totalsRowFormula>
    </tableColumn>
    <tableColumn id="3" xr3:uid="{A8395BA2-D757-447C-8365-5835C94BCB0D}" name="Total Votes by Party" totalsRowFunction="custom" dataDxfId="191" totalsRowDxfId="190">
      <calculatedColumnFormula>MemberOfAssemblyAssemblyDistrict136General[[#This Row],[Part of Monroe County Vote Results]]</calculatedColumnFormula>
      <totalsRowFormula>MemberOfAssemblyAssemblyDistrict135General[[#This Row],[Part of Monroe County Vote Results]]</totalsRowFormula>
    </tableColumn>
    <tableColumn id="2" xr3:uid="{A090BD7F-3A1A-4CB0-BD88-536E37607250}" name="Total Votes by Candidate" dataDxfId="189" totalsRowDxfId="188"/>
  </tableColumns>
  <tableStyleInfo name="TableStyleMedium2" showFirstColumn="0" showLastColumn="0" showRowStripes="0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7" xr:uid="{6C67C079-70D5-4258-A78B-9E78934371CA}" name="MemberOfAssemblyAssemblyDistrict137General" displayName="MemberOfAssemblyAssemblyDistrict137General" ref="A2:D7" totalsRowCount="1" headerRowDxfId="187" dataDxfId="185" headerRowBorderDxfId="186" tableBorderDxfId="184" totalsRowBorderDxfId="183">
  <autoFilter ref="A2:D6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A60D22AF-A819-4BF9-970C-216D0C7F654E}" name="Candidate Name (Party)" totalsRowLabel="Total Votes by County" dataDxfId="182" totalsRowDxfId="181"/>
    <tableColumn id="4" xr3:uid="{A12A9395-46D1-4C31-9402-804F491B3CDF}" name="Part of Monroe County Vote Results" totalsRowFunction="custom" dataDxfId="180" totalsRowDxfId="179">
      <totalsRowFormula>SUBTOTAL(109,MemberOfAssemblyAssemblyDistrict137General[Total Votes by Candidate])</totalsRowFormula>
    </tableColumn>
    <tableColumn id="3" xr3:uid="{78680DDB-D9BE-4294-87EB-BC377444D461}" name="Total Votes by Party" totalsRowFunction="custom" dataDxfId="178" totalsRowDxfId="177">
      <calculatedColumnFormula>MemberOfAssemblyAssemblyDistrict137General[[#This Row],[Part of Monroe County Vote Results]]</calculatedColumnFormula>
      <totalsRowFormula>MemberOfAssemblyAssemblyDistrict136General[[#This Row],[Part of Monroe County Vote Results]]</totalsRowFormula>
    </tableColumn>
    <tableColumn id="2" xr3:uid="{9F6788E0-CB1A-47E1-9909-E4CD76BEFD7B}" name="Total Votes by Candidate" dataDxfId="176" totalsRowDxfId="175"/>
  </tableColumns>
  <tableStyleInfo name="TableStyleMedium2" showFirstColumn="0" showLastColumn="0" showRowStripes="0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8" xr:uid="{F3EB93AC-809D-47D8-A252-781E362F8B07}" name="MemberOfAssemblyAssemblyDistrict138General" displayName="MemberOfAssemblyAssemblyDistrict138General" ref="A2:D13" totalsRowCount="1" headerRowDxfId="174" dataDxfId="172" headerRowBorderDxfId="173" tableBorderDxfId="171" totalsRowBorderDxfId="170">
  <autoFilter ref="A2:D12" xr:uid="{454EBD1B-7770-41A5-B8A8-0820457DFCD8}">
    <filterColumn colId="0" hiddenButton="1"/>
    <filterColumn colId="1" hiddenButton="1"/>
    <filterColumn colId="2" hiddenButton="1"/>
    <filterColumn colId="3" hiddenButton="1"/>
  </autoFilter>
  <tableColumns count="4">
    <tableColumn id="1" xr3:uid="{7A502E75-EAD4-498A-A99B-8E42A2806FD1}" name="Candidate Name (Party)" totalsRowLabel="Total Votes by County" dataDxfId="169" totalsRowDxfId="168"/>
    <tableColumn id="4" xr3:uid="{E14C7478-BC4D-4581-835A-55D737C3BA3A}" name="Part of Monroe County Vote Results" totalsRowFunction="custom" dataDxfId="167" totalsRowDxfId="166">
      <totalsRowFormula>SUBTOTAL(109,MemberOfAssemblyAssemblyDistrict138General[Total Votes by Candidate])</totalsRowFormula>
    </tableColumn>
    <tableColumn id="3" xr3:uid="{20EB2B7C-367C-4596-86AD-BC1C6029A0CD}" name="Total Votes by Party" dataDxfId="165">
      <calculatedColumnFormula>MemberOfAssemblyAssemblyDistrict138General[[#This Row],[Part of Monroe County Vote Results]]</calculatedColumnFormula>
    </tableColumn>
    <tableColumn id="2" xr3:uid="{3A308507-68DA-40B7-9AE8-432C9BABCFF6}" name="Total Votes by Candidate" dataDxfId="164"/>
  </tableColumns>
  <tableStyleInfo name="TableStyleMedium2" showFirstColumn="0" showLastColumn="0" showRowStripes="0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9" xr:uid="{F758D4D2-D544-4A9B-8256-03564F3713C2}" name="MemberOfAssemblyAssemblyDistrict139General" displayName="MemberOfAssemblyAssemblyDistrict139General" ref="A2:F11" totalsRowCount="1" headerRowDxfId="163" dataDxfId="161" headerRowBorderDxfId="162" tableBorderDxfId="160" totalsRowBorderDxfId="159">
  <autoFilter ref="A2:F10" xr:uid="{CB957A37-C1A3-4F36-A4B3-278A92870F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966E5F7-6AA9-4D66-A886-1A380DF5C90E}" name="Candidate Name (Party)" totalsRowLabel="Total Votes by County" dataDxfId="158" totalsRowDxfId="157"/>
    <tableColumn id="2" xr3:uid="{E0FD7D90-5DC1-40E0-A849-37175A3692DF}" name="Genesee County Vote Results" totalsRowFunction="sum" dataDxfId="156" totalsRowDxfId="155"/>
    <tableColumn id="3" xr3:uid="{CE7819F3-A78E-48CE-B206-7C0CD3F5AF9E}" name="Part of Monroe County Vote Results" dataDxfId="154" totalsRowDxfId="153"/>
    <tableColumn id="4" xr3:uid="{B7212608-2110-4C6C-9B5E-03A40AA8C233}" name="Part of Orleans County Vote Results" totalsRowFunction="sum" dataDxfId="152" totalsRowDxfId="151"/>
    <tableColumn id="6" xr3:uid="{65229B2B-F4C5-4E20-8CB7-597D050F4332}" name="Total Votes by Party" totalsRowFunction="custom" dataDxfId="150" totalsRowDxfId="149">
      <calculatedColumnFormula>SUM(MemberOfAssemblyAssemblyDistrict139General[[#This Row],[Genesee County Vote Results]:[Part of Orleans County Vote Results]])</calculatedColumnFormula>
      <totalsRowFormula>MemberOfAssemblyAssemblyDistrict138General[[#This Row],[Part of Monroe County Vote Results]]</totalsRowFormula>
    </tableColumn>
    <tableColumn id="5" xr3:uid="{CC10EC08-471C-4EDA-BF04-EAE7D9E4D536}" name="Total Votes by Candidate" dataDxfId="148" totalsRowDxfId="147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0" xr:uid="{3A07B82A-D667-4BAA-9348-CF836E1C9B22}" name="MemberOfAssemblyAssemblyDistrict14General" displayName="MemberOfAssemblyAssemblyDistrict14General" ref="A2:D14" totalsRowCount="1" headerRowDxfId="1796" dataDxfId="1794" headerRowBorderDxfId="1795" tableBorderDxfId="1793" totalsRowBorderDxfId="1792">
  <autoFilter ref="A2:D13" xr:uid="{F438094B-05A3-4A80-B6D4-572EB6EA794B}">
    <filterColumn colId="0" hiddenButton="1"/>
    <filterColumn colId="1" hiddenButton="1"/>
    <filterColumn colId="2" hiddenButton="1"/>
    <filterColumn colId="3" hiddenButton="1"/>
  </autoFilter>
  <tableColumns count="4">
    <tableColumn id="1" xr3:uid="{ED52E400-E270-4948-A2E1-62467E3B5E47}" name="Candidate Name (Party)" totalsRowLabel="Total Votes by County" dataDxfId="1791" totalsRowDxfId="1790"/>
    <tableColumn id="4" xr3:uid="{0DD436AB-FFD5-486A-A447-58F73381EC84}" name="Part of Nassau County Vote Results" totalsRowFunction="custom" dataDxfId="1789" totalsRowDxfId="1788">
      <totalsRowFormula>SUBTOTAL(109,MemberOfAssemblyAssemblyDistrict14General[Total Votes by Candidate])</totalsRowFormula>
    </tableColumn>
    <tableColumn id="3" xr3:uid="{577BE9EB-A1EE-43BC-9E03-D779EF7C97C3}" name="Total Votes by Party" dataDxfId="1787">
      <calculatedColumnFormula>MemberOfAssemblyAssemblyDistrict14General[[#This Row],[Part of Nassau County Vote Results]]</calculatedColumnFormula>
    </tableColumn>
    <tableColumn id="2" xr3:uid="{61CA9B74-9925-4CD3-9996-EBDCBA0673D6}" name="Total Votes by Candidate" dataDxfId="1786"/>
  </tableColumns>
  <tableStyleInfo name="TableStyleMedium2" showFirstColumn="0" showLastColumn="0" showRowStripes="0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0" xr:uid="{E211E936-B08D-4CF7-B8D9-D6E504FE4C50}" name="MemberOfAssemblyAssemblyDistrict140General" displayName="MemberOfAssemblyAssemblyDistrict140General" ref="A2:E12" totalsRowCount="1" headerRowDxfId="146" dataDxfId="144" headerRowBorderDxfId="145" tableBorderDxfId="143" totalsRowBorderDxfId="142">
  <autoFilter ref="A2:E11" xr:uid="{9105780F-69CF-40D1-B2C6-3E7BA5C3B0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3EB6B3-009D-4123-A951-3848C39933FA}" name="Candidate Name (Party)" totalsRowLabel="Total Votes by County" dataDxfId="141" totalsRowDxfId="140"/>
    <tableColumn id="2" xr3:uid="{A3DD0444-C349-41C3-9016-71E94D371E6B}" name="Part of Erie County Vote Results" totalsRowFunction="sum" dataDxfId="139" totalsRowDxfId="138"/>
    <tableColumn id="4" xr3:uid="{882EDD74-190C-474E-B96A-3403AD20FA6E}" name="Part of Niagara County Vote Results" totalsRowFunction="sum" dataDxfId="137" totalsRowDxfId="136"/>
    <tableColumn id="3" xr3:uid="{53AC8BAC-F0CC-4CB2-8E29-CEEDA24FB3CC}" name="Total Votes by Party" dataDxfId="135">
      <calculatedColumnFormula>SUM(MemberOfAssemblyAssemblyDistrict140General[[#This Row],[Part of Erie County Vote Results]:[Part of Niagara County Vote Results]])</calculatedColumnFormula>
    </tableColumn>
    <tableColumn id="5" xr3:uid="{EB409B90-4E19-4EC9-8296-7C49179A85CF}" name="Total Votes by Candidate" dataDxfId="134"/>
  </tableColumns>
  <tableStyleInfo name="TableStyleMedium2" showFirstColumn="0" showLastColumn="0" showRowStripes="0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1" xr:uid="{13F8FF4A-7E8B-45B7-8293-744C443FE21F}" name="MemberOfAssemblyAssemblyDistrict141General" displayName="MemberOfAssemblyAssemblyDistrict141General" ref="A2:D8" totalsRowCount="1" headerRowDxfId="133" dataDxfId="131" headerRowBorderDxfId="132" tableBorderDxfId="130" totalsRowBorderDxfId="129">
  <autoFilter ref="A2:D7" xr:uid="{02EAEC1C-02FF-491A-B364-A84E58635711}">
    <filterColumn colId="0" hiddenButton="1"/>
    <filterColumn colId="1" hiddenButton="1"/>
    <filterColumn colId="2" hiddenButton="1"/>
    <filterColumn colId="3" hiddenButton="1"/>
  </autoFilter>
  <tableColumns count="4">
    <tableColumn id="1" xr3:uid="{72743A65-B029-4EF2-92F1-DBF9F30AE4F4}" name="Candidate Name (Party)" totalsRowLabel="Total Votes by County" dataDxfId="128" totalsRowDxfId="127"/>
    <tableColumn id="4" xr3:uid="{4BD8B046-6A23-44F5-A98B-94496FF62AFC}" name="Part of Erie County Vote Results" totalsRowFunction="custom" dataDxfId="126" totalsRowDxfId="125">
      <totalsRowFormula>SUBTOTAL(109,MemberOfAssemblyAssemblyDistrict141General[Total Votes by Candidate])</totalsRowFormula>
    </tableColumn>
    <tableColumn id="3" xr3:uid="{2E41E330-02E5-4934-BF30-48C7B4DD367F}" name="Total Votes by Party" totalsRowFunction="custom" dataDxfId="124" totalsRowDxfId="123">
      <calculatedColumnFormula>MemberOfAssemblyAssemblyDistrict141General[[#This Row],[Part of Erie County Vote Results]]</calculatedColumnFormula>
      <totalsRowFormula>SUM(MemberOfAssemblyAssemblyDistrict140General[[#This Row],[Part of Erie County Vote Results]:[Part of Niagara County Vote Results]])</totalsRowFormula>
    </tableColumn>
    <tableColumn id="2" xr3:uid="{9A77FCDA-69CF-48FE-8812-B23BD82D5695}" name="Total Votes by Candidate" totalsRowFunction="custom" dataDxfId="122" totalsRowDxfId="121">
      <totalsRowFormula>MemberOfAssemblyAssemblyDistrict140General[[#This Row],[Total Votes by Party]]</totalsRowFormula>
    </tableColumn>
  </tableColumns>
  <tableStyleInfo name="TableStyleMedium2" showFirstColumn="0" showLastColumn="0" showRowStripes="0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2" xr:uid="{B76BBDA6-E84C-4884-8949-1DB764B0E2FE}" name="MemberOfAssemblyAssemblyDistrict142General" displayName="MemberOfAssemblyAssemblyDistrict142General" ref="A2:D12" totalsRowCount="1" headerRowDxfId="120" dataDxfId="118" headerRowBorderDxfId="119" tableBorderDxfId="117" totalsRowBorderDxfId="116">
  <autoFilter ref="A2:D11" xr:uid="{3FB75B32-0FF2-4A7A-9C5A-8149A0434CE3}">
    <filterColumn colId="0" hiddenButton="1"/>
    <filterColumn colId="1" hiddenButton="1"/>
    <filterColumn colId="2" hiddenButton="1"/>
    <filterColumn colId="3" hiddenButton="1"/>
  </autoFilter>
  <tableColumns count="4">
    <tableColumn id="1" xr3:uid="{9BBC2E3A-FE2A-427A-8540-11E225B3E411}" name="Candidate Name (Party)" totalsRowLabel="Total Votes by County" dataDxfId="115" totalsRowDxfId="114"/>
    <tableColumn id="4" xr3:uid="{6A8259C3-364C-4F74-A7A8-FF67BD4DD802}" name="Part of Erie County Vote Results" totalsRowFunction="custom" dataDxfId="113" totalsRowDxfId="112">
      <totalsRowFormula>SUBTOTAL(109,MemberOfAssemblyAssemblyDistrict142General[Total Votes by Candidate])</totalsRowFormula>
    </tableColumn>
    <tableColumn id="3" xr3:uid="{48A20FE2-973C-41A0-8A56-065BCA6E5D4E}" name="Total Votes by Party" dataDxfId="111">
      <calculatedColumnFormula>MemberOfAssemblyAssemblyDistrict142General[[#This Row],[Part of Erie County Vote Results]]</calculatedColumnFormula>
    </tableColumn>
    <tableColumn id="2" xr3:uid="{E4D1E383-597F-4B2F-9439-1E90E7F8ED09}" name="Total Votes by Candidate" dataDxfId="110"/>
  </tableColumns>
  <tableStyleInfo name="TableStyleMedium2" showFirstColumn="0" showLastColumn="0" showRowStripes="0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3" xr:uid="{03CD445D-C244-4CBF-9853-E3A0EB788332}" name="MemberOfAssemblyAssemblyDistrict143General" displayName="MemberOfAssemblyAssemblyDistrict143General" ref="A2:D11" totalsRowCount="1" headerRowDxfId="109" dataDxfId="107" headerRowBorderDxfId="108" tableBorderDxfId="106" totalsRowBorderDxfId="105">
  <autoFilter ref="A2:D10" xr:uid="{C03B26A6-95F3-4A96-8313-C562B18655CB}">
    <filterColumn colId="0" hiddenButton="1"/>
    <filterColumn colId="1" hiddenButton="1"/>
    <filterColumn colId="2" hiddenButton="1"/>
    <filterColumn colId="3" hiddenButton="1"/>
  </autoFilter>
  <tableColumns count="4">
    <tableColumn id="1" xr3:uid="{A898BC0C-95F7-4F50-9496-5452CA1A79A3}" name="Candidate Name (Party)" totalsRowLabel="Total Votes by County" dataDxfId="104" totalsRowDxfId="103"/>
    <tableColumn id="4" xr3:uid="{9FBA2DAF-9298-485D-8AB3-23D566984E22}" name="Part of Erie County Vote Results" totalsRowFunction="custom" dataDxfId="102" totalsRowDxfId="101">
      <totalsRowFormula>SUBTOTAL(109,MemberOfAssemblyAssemblyDistrict143General[Total Votes by Candidate])</totalsRowFormula>
    </tableColumn>
    <tableColumn id="3" xr3:uid="{15039F51-6E68-4886-A13D-2564DDDE63A7}" name="Total Votes by Party" totalsRowFunction="custom" dataDxfId="100" totalsRowDxfId="99">
      <calculatedColumnFormula>MemberOfAssemblyAssemblyDistrict143General[[#This Row],[Part of Erie County Vote Results]]</calculatedColumnFormula>
      <totalsRowFormula>MemberOfAssemblyAssemblyDistrict142General[[#This Row],[Part of Erie County Vote Results]]</totalsRowFormula>
    </tableColumn>
    <tableColumn id="2" xr3:uid="{46167E82-E8FA-4899-A553-334AD792B1A2}" name="Total Votes by Candidate" dataDxfId="98" totalsRowDxfId="97"/>
  </tableColumns>
  <tableStyleInfo name="TableStyleMedium2" showFirstColumn="0" showLastColumn="0" showRowStripes="0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4" xr:uid="{B257A6BA-6C0C-4947-817E-3621D378AA92}" name="MemberOfAssemblyAssemblyDistrict144General" displayName="MemberOfAssemblyAssemblyDistrict144General" ref="A2:F13" totalsRowCount="1" headerRowDxfId="96" dataDxfId="94" headerRowBorderDxfId="95" tableBorderDxfId="93" totalsRowBorderDxfId="92">
  <autoFilter ref="A2:F12" xr:uid="{BCD8B821-45C5-46DC-96B8-D39A5BBBA9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5CBA59B-AD4D-414A-B898-D715D39CC19D}" name="Candidate Name (Party)" totalsRowLabel="Total Votes by County" dataDxfId="91" totalsRowDxfId="90"/>
    <tableColumn id="2" xr3:uid="{D42BC2EA-FBE5-4DD6-9A8E-39D9061549E9}" name="Part of Erie County Vote Results" totalsRowFunction="sum" dataDxfId="89" totalsRowDxfId="88"/>
    <tableColumn id="3" xr3:uid="{767C506F-66A0-4E8C-B364-0A684F0DFD3E}" name="Part of Niagara County Vote Results" dataDxfId="87" totalsRowDxfId="86"/>
    <tableColumn id="4" xr3:uid="{55E32D71-CED0-465F-9F22-27353FF8DD9A}" name="Part of Orleans County Vote Results" totalsRowFunction="sum" dataDxfId="85" totalsRowDxfId="84"/>
    <tableColumn id="6" xr3:uid="{29944C8A-FFDD-44C4-8812-F334EA8C338D}" name="Total Votes by Party" dataDxfId="83">
      <calculatedColumnFormula>SUM(MemberOfAssemblyAssemblyDistrict144General[[#This Row],[Part of Erie County Vote Results]:[Part of Orleans County Vote Results]])</calculatedColumnFormula>
    </tableColumn>
    <tableColumn id="5" xr3:uid="{8E5BF253-B4A8-4661-BBDE-93C04FA5C340}" name="Total Votes by Candidate" dataDxfId="82"/>
  </tableColumns>
  <tableStyleInfo name="TableStyleMedium2" showFirstColumn="0" showLastColumn="0" showRowStripes="0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5" xr:uid="{89DA9A93-1BE4-4045-B6E3-DBA062EA2EB9}" name="MemberOfAssemblyAssemblyDistrict145General" displayName="MemberOfAssemblyAssemblyDistrict145General" ref="A2:E10" totalsRowCount="1" headerRowDxfId="81" dataDxfId="79" headerRowBorderDxfId="80" tableBorderDxfId="78" totalsRowBorderDxfId="77">
  <autoFilter ref="A2:E9" xr:uid="{A66EE74F-5E54-46A9-8547-18F86CDD6A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172C093-EFCA-4F60-BEBD-379F4D00FF51}" name="Candidate Name (Party)" totalsRowLabel="Total Votes by County" dataDxfId="76" totalsRowDxfId="75"/>
    <tableColumn id="2" xr3:uid="{F53F7B8D-2D2E-4111-876E-F7A50361B5FD}" name="Part of Erie County Vote Results" totalsRowFunction="sum" dataDxfId="74" totalsRowDxfId="73"/>
    <tableColumn id="4" xr3:uid="{9D93154A-DC0E-4595-960F-94AEDC4B200B}" name="Part of Niagara County Vote Results" totalsRowFunction="sum" dataDxfId="72" totalsRowDxfId="71"/>
    <tableColumn id="3" xr3:uid="{24FD737A-FF0D-4855-BF62-4B5EFBC0B791}" name="Total Votes by Party" totalsRowFunction="custom" dataDxfId="70" totalsRowDxfId="69">
      <calculatedColumnFormula>SUM(MemberOfAssemblyAssemblyDistrict145General[[#This Row],[Part of Erie County Vote Results]:[Part of Niagara County Vote Results]])</calculatedColumnFormula>
      <totalsRowFormula>SUM(MemberOfAssemblyAssemblyDistrict144General[[#This Row],[Part of Erie County Vote Results]:[Part of Orleans County Vote Results]])</totalsRowFormula>
    </tableColumn>
    <tableColumn id="5" xr3:uid="{682C7539-F18C-42FD-8EAB-FE497F9F2EA1}" name="Total Votes by Candidate" dataDxfId="68" totalsRowDxfId="67"/>
  </tableColumns>
  <tableStyleInfo name="TableStyleMedium2" showFirstColumn="0" showLastColumn="0" showRowStripes="0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6" xr:uid="{44196D81-18EA-4DFF-9DDF-7A40EC1C5F69}" name="MemberOfAssemblyAssemblyDistrict146General" displayName="MemberOfAssemblyAssemblyDistrict146General" ref="A2:E14" totalsRowCount="1" headerRowDxfId="66" dataDxfId="64" headerRowBorderDxfId="65" tableBorderDxfId="63" totalsRowBorderDxfId="62">
  <autoFilter ref="A2:E13" xr:uid="{C8D61D84-BFA2-4A24-BC49-F3AE593B2A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B1801AB-DA44-4968-B2BC-4E224CD37176}" name="Candidate Name (Party)" totalsRowLabel="Total Votes by County" dataDxfId="61" totalsRowDxfId="60"/>
    <tableColumn id="2" xr3:uid="{7EA06E1F-851B-4FBC-8D58-381F4B47D283}" name="Part of Erie County Vote Results" totalsRowFunction="sum" dataDxfId="59" totalsRowDxfId="58"/>
    <tableColumn id="4" xr3:uid="{76FFC977-A68B-4B5F-94CC-F840A25D97FB}" name="Part of Niagara County Vote Results" totalsRowFunction="sum" dataDxfId="57" totalsRowDxfId="56"/>
    <tableColumn id="3" xr3:uid="{9BDE3EF8-1087-418F-B3EC-B6834A162B55}" name="Total Votes by Party" dataDxfId="55">
      <calculatedColumnFormula>SUM(MemberOfAssemblyAssemblyDistrict146General[[#This Row],[Part of Erie County Vote Results]:[Part of Niagara County Vote Results]])</calculatedColumnFormula>
    </tableColumn>
    <tableColumn id="5" xr3:uid="{5D766AEB-54DF-4F02-9275-A7FE0B6D7C2E}" name="Total Votes by Candidate" dataDxfId="54"/>
  </tableColumns>
  <tableStyleInfo name="TableStyleMedium2" showFirstColumn="0" showLastColumn="0" showRowStripes="0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7" xr:uid="{02FD1C17-3D19-4646-8318-D8A3B61DF479}" name="MemberOfAssemblyAssemblyDistrict147General" displayName="MemberOfAssemblyAssemblyDistrict147General" ref="A2:E11" totalsRowCount="1" headerRowDxfId="53" dataDxfId="51" headerRowBorderDxfId="52" tableBorderDxfId="50" totalsRowBorderDxfId="49">
  <autoFilter ref="A2:E10" xr:uid="{700F459E-B1F3-4D93-87B6-499BD5366D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1D96CBF-3A9B-4A23-A9D4-236C20869EEA}" name="Candidate Name (Party)" totalsRowLabel="Total Votes by County" dataDxfId="48" totalsRowDxfId="47"/>
    <tableColumn id="2" xr3:uid="{E57BB172-5CB8-4A52-8595-BBC824577A64}" name="Wyoming County Vote Results" totalsRowFunction="sum" dataDxfId="46" totalsRowDxfId="45"/>
    <tableColumn id="4" xr3:uid="{7023B196-A3CB-42CE-91E4-74F24C2DDCCD}" name="Part of Erie County Vote Results" totalsRowFunction="sum" dataDxfId="44" totalsRowDxfId="43"/>
    <tableColumn id="3" xr3:uid="{F224C32D-BD3C-4884-A54D-58DCCB79D4D9}" name="Total Votes by Party" totalsRowFunction="custom" dataDxfId="42" totalsRowDxfId="41">
      <calculatedColumnFormula>SUM(MemberOfAssemblyAssemblyDistrict147General[[#This Row],[Wyoming County Vote Results]:[Part of Erie County Vote Results]])</calculatedColumnFormula>
      <totalsRowFormula>SUM(MemberOfAssemblyAssemblyDistrict146General[[#This Row],[Part of Erie County Vote Results]:[Part of Niagara County Vote Results]])</totalsRowFormula>
    </tableColumn>
    <tableColumn id="5" xr3:uid="{F772F64C-F4B0-41A3-95A5-F06D4915463D}" name="Total Votes by Candidate" dataDxfId="40" totalsRowDxfId="39"/>
  </tableColumns>
  <tableStyleInfo name="TableStyleMedium2" showFirstColumn="0" showLastColumn="0" showRowStripes="0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8" xr:uid="{637CB1D3-55F7-4129-BBBE-51FA58F49D04}" name="MemberOfAssemblyAssemblyDistrict148General" displayName="MemberOfAssemblyAssemblyDistrict148General" ref="A2:F9" totalsRowCount="1" headerRowDxfId="38" dataDxfId="36" headerRowBorderDxfId="37" tableBorderDxfId="35" totalsRowBorderDxfId="34">
  <autoFilter ref="A2:F8" xr:uid="{109EE673-C7E3-4410-8873-249BAC310E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59E463E-3EB0-4B5A-895E-EA5932174343}" name="Candidate Name (Party)" totalsRowLabel="Total Votes by County" dataDxfId="33" totalsRowDxfId="32"/>
    <tableColumn id="2" xr3:uid="{1F462CB7-5EFD-41A8-8286-E818D792F4C1}" name="Allegany County Vote Results" totalsRowFunction="sum" dataDxfId="31" totalsRowDxfId="30"/>
    <tableColumn id="3" xr3:uid="{CFEAF08C-3CB6-4498-952F-B06A0448A2C0}" name="Cattaraugus County Vote Results" dataDxfId="29" totalsRowDxfId="28"/>
    <tableColumn id="4" xr3:uid="{766BF0B2-2781-46DC-89C5-B4EF7605DDD6}" name="Part of Steuben County Vote Results" totalsRowFunction="sum" dataDxfId="27" totalsRowDxfId="26"/>
    <tableColumn id="6" xr3:uid="{FA4525E6-A8CB-4E80-BA3B-9FCEB4C89775}" name="Total Votes by Party" totalsRowFunction="custom" dataDxfId="25" totalsRowDxfId="24">
      <calculatedColumnFormula>SUM(MemberOfAssemblyAssemblyDistrict148General[[#This Row],[Allegany County Vote Results]:[Part of Steuben County Vote Results]])</calculatedColumnFormula>
      <totalsRowFormula>SUM(MemberOfAssemblyAssemblyDistrict147General[[#This Row],[Wyoming County Vote Results]:[Part of Erie County Vote Results]])</totalsRowFormula>
    </tableColumn>
    <tableColumn id="5" xr3:uid="{E9754E11-27BA-4D16-AD1E-3BD8F034103A}" name="Total Votes by Candidate" dataDxfId="23" totalsRowDxfId="22"/>
  </tableColumns>
  <tableStyleInfo name="TableStyleMedium2" showFirstColumn="0" showLastColumn="0" showRowStripes="0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9" xr:uid="{62569146-24D4-4757-B4F0-6F0E1C96E06D}" name="MemberOfAssemblyAssemblyDistrict149General" displayName="MemberOfAssemblyAssemblyDistrict149General" ref="A2:D11" totalsRowCount="1" headerRowDxfId="21" dataDxfId="19" headerRowBorderDxfId="20" tableBorderDxfId="18" totalsRowBorderDxfId="17">
  <autoFilter ref="A2:D10" xr:uid="{71A37BCA-A655-47C9-A6F3-9AB9E1E6762B}">
    <filterColumn colId="0" hiddenButton="1"/>
    <filterColumn colId="1" hiddenButton="1"/>
    <filterColumn colId="2" hiddenButton="1"/>
    <filterColumn colId="3" hiddenButton="1"/>
  </autoFilter>
  <tableColumns count="4">
    <tableColumn id="1" xr3:uid="{D7F852BF-BF00-4833-8921-A46EA3815500}" name="Candidate Name (Party)" totalsRowLabel="Total Votes by County" dataDxfId="16" totalsRowDxfId="15"/>
    <tableColumn id="4" xr3:uid="{8B7E9334-70A9-4DEC-A1EA-8D57394744B9}" name="Part of Erie County Vote Results" totalsRowFunction="custom" dataDxfId="14" totalsRowDxfId="13">
      <totalsRowFormula>SUBTOTAL(109,MemberOfAssemblyAssemblyDistrict149General[Total Votes by Candidate])</totalsRowFormula>
    </tableColumn>
    <tableColumn id="3" xr3:uid="{D9E67530-6BAE-4766-9E70-F912C4D6B44D}" name="Total Votes by Party" dataDxfId="12">
      <calculatedColumnFormula>MemberOfAssemblyAssemblyDistrict149General[[#This Row],[Part of Erie County Vote Results]]</calculatedColumnFormula>
    </tableColumn>
    <tableColumn id="2" xr3:uid="{CB6880F9-8994-4850-A8C9-3C1F1DE3E1DC}" name="Total Votes by Candidate" dataDxfId="11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1" xr:uid="{8C70EA73-A290-4B03-87D8-F1C0B391D033}" name="MemberOfAssemblyAssemblyDistrict15General" displayName="MemberOfAssemblyAssemblyDistrict15General" ref="A2:D13" totalsRowCount="1" headerRowDxfId="1785" dataDxfId="1783" headerRowBorderDxfId="1784" tableBorderDxfId="1782" totalsRowBorderDxfId="1781">
  <autoFilter ref="A2:D12" xr:uid="{A06901D1-7C83-4F71-944B-794F9C28D23B}">
    <filterColumn colId="0" hiddenButton="1"/>
    <filterColumn colId="1" hiddenButton="1"/>
    <filterColumn colId="2" hiddenButton="1"/>
    <filterColumn colId="3" hiddenButton="1"/>
  </autoFilter>
  <tableColumns count="4">
    <tableColumn id="1" xr3:uid="{E31EE61C-69DF-4165-A6EE-014F425F0454}" name="Candidate Name (Party)" totalsRowLabel="Total Votes by County" dataDxfId="1780" totalsRowDxfId="1779"/>
    <tableColumn id="4" xr3:uid="{A354BF5A-7E29-4CD3-A5C5-227B5461CD5C}" name="Part of Nassau County Vote Results" totalsRowFunction="custom" dataDxfId="1778" totalsRowDxfId="1777">
      <totalsRowFormula>SUBTOTAL(109,MemberOfAssemblyAssemblyDistrict15General[Total Votes by Candidate])</totalsRowFormula>
    </tableColumn>
    <tableColumn id="3" xr3:uid="{94BBD389-CA3B-4958-91A0-AEE8870740FB}" name="Total Votes by Party" totalsRowFunction="custom" dataDxfId="1776" totalsRowDxfId="1775">
      <calculatedColumnFormula>MemberOfAssemblyAssemblyDistrict15General[[#This Row],[Part of Nassau County Vote Results]]</calculatedColumnFormula>
      <totalsRowFormula>MemberOfAssemblyAssemblyDistrict14General[[#This Row],[Part of Nassau County Vote Results]]</totalsRowFormula>
    </tableColumn>
    <tableColumn id="2" xr3:uid="{5B794F3E-467C-47CE-9E22-49EBE17FCE1C}" name="Total Votes by Candidate" dataDxfId="1774" totalsRowDxfId="1773"/>
  </tableColumns>
  <tableStyleInfo name="TableStyleMedium2" showFirstColumn="0" showLastColumn="0" showRowStripes="0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0" xr:uid="{9AD81EAA-0852-4C9D-A213-A3337C7C8639}" name="MemberOfAssemblyAssemblyDistrict150General" displayName="MemberOfAssemblyAssemblyDistrict150General" ref="A2:D12" totalsRowCount="1" headerRowDxfId="10" dataDxfId="8" headerRowBorderDxfId="9" tableBorderDxfId="7" totalsRowBorderDxfId="6">
  <autoFilter ref="A2:D11" xr:uid="{698FF0D6-BCBF-46BF-9E31-61A5248EE9A7}">
    <filterColumn colId="0" hiddenButton="1"/>
    <filterColumn colId="1" hiddenButton="1"/>
    <filterColumn colId="2" hiddenButton="1"/>
    <filterColumn colId="3" hiddenButton="1"/>
  </autoFilter>
  <tableColumns count="4">
    <tableColumn id="1" xr3:uid="{05EF7908-D968-4C96-B8CF-577D75B99435}" name="Candidate Name (Party)" totalsRowLabel="Total Votes by County" dataDxfId="5" totalsRowDxfId="4"/>
    <tableColumn id="4" xr3:uid="{38A7B479-020B-485C-95FB-1AADB8F27DBF}" name="Chautauqua County Vote Results" totalsRowFunction="custom" dataDxfId="3" totalsRowDxfId="2">
      <totalsRowFormula>SUBTOTAL(109,MemberOfAssemblyAssemblyDistrict150General[Total Votes by Candidate])</totalsRowFormula>
    </tableColumn>
    <tableColumn id="3" xr3:uid="{F7BD2259-198E-4395-B1AC-6248FB7E751E}" name="Total Votes by Party" dataDxfId="1">
      <calculatedColumnFormula>MemberOfAssemblyAssemblyDistrict150General[[#This Row],[Chautauqua County Vote Results]]</calculatedColumnFormula>
    </tableColumn>
    <tableColumn id="2" xr3:uid="{80C89B38-F767-46F1-8EDC-3943DB10EACF}" name="Total Votes by Candidate" dataDxfId="0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2" xr:uid="{5E015C0A-5771-4B66-8D35-9E2EFAA8BA88}" name="MemberOfAssemblyAssemblyDistrict16General" displayName="MemberOfAssemblyAssemblyDistrict16General" ref="A2:D13" totalsRowCount="1" headerRowDxfId="1772" dataDxfId="1770" headerRowBorderDxfId="1771" tableBorderDxfId="1769" totalsRowBorderDxfId="1768">
  <autoFilter ref="A2:D12" xr:uid="{A1BDE8E9-32DC-4AB6-897F-9046979414CB}">
    <filterColumn colId="0" hiddenButton="1"/>
    <filterColumn colId="1" hiddenButton="1"/>
    <filterColumn colId="2" hiddenButton="1"/>
    <filterColumn colId="3" hiddenButton="1"/>
  </autoFilter>
  <tableColumns count="4">
    <tableColumn id="1" xr3:uid="{0B878DE8-5962-4117-84E9-20891B3C057B}" name="Candidate Name (Party)" totalsRowLabel="Total Votes by County" dataDxfId="1767" totalsRowDxfId="1766"/>
    <tableColumn id="4" xr3:uid="{E33DAEE7-3D86-41F0-AD3E-55A997C31C5B}" name="Part of Nassau County Vote Results" totalsRowFunction="custom" dataDxfId="1765" totalsRowDxfId="1764">
      <totalsRowFormula>SUBTOTAL(109,MemberOfAssemblyAssemblyDistrict16General[Total Votes by Candidate])</totalsRowFormula>
    </tableColumn>
    <tableColumn id="3" xr3:uid="{2F1F41D6-924C-4A2A-AA46-83F6D7DAA6D8}" name="Total Votes by Party" totalsRowFunction="custom" dataDxfId="1763" totalsRowDxfId="1762">
      <calculatedColumnFormula>MemberOfAssemblyAssemblyDistrict16General[[#This Row],[Part of Nassau County Vote Results]]</calculatedColumnFormula>
      <totalsRowFormula>MemberOfAssemblyAssemblyDistrict14General[[#This Row],[Part of Nassau County Vote Results]]</totalsRowFormula>
    </tableColumn>
    <tableColumn id="2" xr3:uid="{066A5C5D-41E1-4081-A2CE-0974393CC033}" name="Total Votes by Candidate" dataDxfId="1761" totalsRowDxfId="1760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B06714B7-04BD-4F46-A3FA-194BE9DE93EE}" name="MemberOfAssemblyAssemblyDistrict17General" displayName="MemberOfAssemblyAssemblyDistrict17General" ref="A2:D13" totalsRowCount="1" headerRowDxfId="1759" dataDxfId="1757" headerRowBorderDxfId="1758" tableBorderDxfId="1756" totalsRowBorderDxfId="1755">
  <autoFilter ref="A2:D12" xr:uid="{B9463230-8AA1-4C9F-90C7-CC677E7A2CDF}">
    <filterColumn colId="0" hiddenButton="1"/>
    <filterColumn colId="1" hiddenButton="1"/>
    <filterColumn colId="2" hiddenButton="1"/>
    <filterColumn colId="3" hiddenButton="1"/>
  </autoFilter>
  <tableColumns count="4">
    <tableColumn id="1" xr3:uid="{62DE36C4-7C69-4D9B-8E52-9F31B96D5476}" name="Candidate Name (Party)" totalsRowLabel="Total Votes by County" dataDxfId="1754" totalsRowDxfId="1753"/>
    <tableColumn id="4" xr3:uid="{64F519D5-9EFA-4B46-8C51-F409D2D9DE44}" name="Part of Nassau County Vote Results" totalsRowFunction="custom" dataDxfId="1752" totalsRowDxfId="1751">
      <totalsRowFormula>SUBTOTAL(109,MemberOfAssemblyAssemblyDistrict17General[Total Votes by Candidate])</totalsRowFormula>
    </tableColumn>
    <tableColumn id="3" xr3:uid="{7FFB356F-F807-4126-88F0-B02CB2015714}" name="Total Votes by Party" totalsRowFunction="custom" dataDxfId="1750" totalsRowDxfId="1749">
      <calculatedColumnFormula>MemberOfAssemblyAssemblyDistrict17General[[#This Row],[Part of Nassau County Vote Results]]</calculatedColumnFormula>
      <totalsRowFormula>MemberOfAssemblyAssemblyDistrict14General[[#This Row],[Part of Nassau County Vote Results]]</totalsRowFormula>
    </tableColumn>
    <tableColumn id="2" xr3:uid="{65C67CC2-7448-46F2-A855-FF78ABD31A3A}" name="Total Votes by Candidate" dataDxfId="1748" totalsRowDxfId="1747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5" xr:uid="{6A7F11FB-A973-426B-AE7B-2316A13B753E}" name="MemberOfAssemblyAssemblyDistrict18General" displayName="MemberOfAssemblyAssemblyDistrict18General" ref="A2:D12" totalsRowCount="1" headerRowDxfId="1746" dataDxfId="1744" headerRowBorderDxfId="1745" tableBorderDxfId="1743" totalsRowBorderDxfId="1742">
  <autoFilter ref="A2:D11" xr:uid="{18BCF7A2-404D-4805-B098-E81F30740016}">
    <filterColumn colId="0" hiddenButton="1"/>
    <filterColumn colId="1" hiddenButton="1"/>
    <filterColumn colId="2" hiddenButton="1"/>
    <filterColumn colId="3" hiddenButton="1"/>
  </autoFilter>
  <tableColumns count="4">
    <tableColumn id="1" xr3:uid="{1E9C6518-2249-497C-A21D-315723C9C750}" name="Candidate Name (Party)" totalsRowLabel="Total Votes by County" dataDxfId="1741" totalsRowDxfId="1740"/>
    <tableColumn id="4" xr3:uid="{38B9239F-84F0-4DB8-9715-BD8071904A0A}" name="Part of Nassau County Vote Results" totalsRowFunction="custom" dataDxfId="1739" totalsRowDxfId="1738">
      <totalsRowFormula>SUBTOTAL(109,MemberOfAssemblyAssemblyDistrict18General[Total Votes by Candidate])</totalsRowFormula>
    </tableColumn>
    <tableColumn id="3" xr3:uid="{97470B95-03DE-4156-B3BE-99657509A898}" name="Total Votes by Party" totalsRowFunction="custom" dataDxfId="1737" totalsRowDxfId="1736">
      <calculatedColumnFormula>MemberOfAssemblyAssemblyDistrict18General[[#This Row],[Part of Nassau County Vote Results]]</calculatedColumnFormula>
      <totalsRowFormula>MemberOfAssemblyAssemblyDistrict17General[[#This Row],[Part of Nassau County Vote Results]]</totalsRowFormula>
    </tableColumn>
    <tableColumn id="2" xr3:uid="{13B35B59-04F7-42A4-A449-DAFEE7F00436}" name="Total Votes by Candidate" dataDxfId="1735" totalsRowDxfId="1734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6" xr:uid="{9B38BAED-43B2-4EF3-BCF0-F68BF0B743D3}" name="MemberOfAssemblyAssemblyDistrict19General" displayName="MemberOfAssemblyAssemblyDistrict19General" ref="A2:D13" totalsRowCount="1" headerRowDxfId="1733" dataDxfId="1731" headerRowBorderDxfId="1732" tableBorderDxfId="1730" totalsRowBorderDxfId="1729">
  <autoFilter ref="A2:D12" xr:uid="{BF048453-C74C-4C32-858A-EAAFB448E338}">
    <filterColumn colId="0" hiddenButton="1"/>
    <filterColumn colId="1" hiddenButton="1"/>
    <filterColumn colId="2" hiddenButton="1"/>
    <filterColumn colId="3" hiddenButton="1"/>
  </autoFilter>
  <tableColumns count="4">
    <tableColumn id="1" xr3:uid="{C7BC4D14-B847-43BA-9DE0-22033CA28EA0}" name="Candidate Name (Party)" totalsRowLabel="Total Votes by County" dataDxfId="1728" totalsRowDxfId="1727"/>
    <tableColumn id="4" xr3:uid="{829C3D21-2D8C-484B-94A7-9115049164E6}" name="Part of Nassau County Vote Results" totalsRowFunction="custom" dataDxfId="1726" totalsRowDxfId="1725">
      <totalsRowFormula>SUBTOTAL(109,MemberOfAssemblyAssemblyDistrict19General[Total Votes by Candidate])</totalsRowFormula>
    </tableColumn>
    <tableColumn id="3" xr3:uid="{0E3F3C14-30DD-406C-831E-E1F9972FEA4B}" name="Total Votes by Party" dataDxfId="1724">
      <calculatedColumnFormula>MemberOfAssemblyAssemblyDistrict19General[[#This Row],[Part of Nassau County Vote Results]]</calculatedColumnFormula>
    </tableColumn>
    <tableColumn id="2" xr3:uid="{A0B59844-06B0-41B4-90D3-2614429A4613}" name="Total Votes by Candidate" dataDxfId="1723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6" xr:uid="{70210D5A-5853-490E-AF2B-5427E7888389}" name="MemberOfAssemblyAssemblyDistrict2General" displayName="MemberOfAssemblyAssemblyDistrict2General" ref="A2:D10" totalsRowCount="1" headerRowDxfId="1944" dataDxfId="1942" headerRowBorderDxfId="1943" tableBorderDxfId="1941" totalsRowBorderDxfId="1940">
  <autoFilter ref="A2:D9" xr:uid="{696B2B78-2511-4454-AD1C-99DC5E7F3A65}">
    <filterColumn colId="0" hiddenButton="1"/>
    <filterColumn colId="1" hiddenButton="1"/>
    <filterColumn colId="2" hiddenButton="1"/>
    <filterColumn colId="3" hiddenButton="1"/>
  </autoFilter>
  <tableColumns count="4">
    <tableColumn id="1" xr3:uid="{334E0B5C-9230-4192-AB5A-9FAED6A48991}" name="Candidate Name (Party)" totalsRowLabel="Total Votes by County" dataDxfId="1939" totalsRowDxfId="1938"/>
    <tableColumn id="4" xr3:uid="{82417E4F-02D0-470D-BA66-CBAF79C09AFA}" name="Part of Suffolk County Vote Results" totalsRowFunction="custom" dataDxfId="1937" totalsRowDxfId="1936">
      <totalsRowFormula>SUBTOTAL(109,MemberOfAssemblyAssemblyDistrict2General[Total Votes by Candidate])</totalsRowFormula>
    </tableColumn>
    <tableColumn id="3" xr3:uid="{160F3609-1B83-4E6E-9F25-72EB1B752B80}" name="Total Votes by Party" totalsRowFunction="custom" dataDxfId="1935" totalsRowDxfId="1934">
      <calculatedColumnFormula>MemberOfAssemblyAssemblyDistrict2General[[#This Row],[Part of Suffolk County Vote Results]]</calculatedColumnFormula>
      <totalsRowFormula>MemberOfAssemblyAssemblyDistrict1General[[#This Row],[Part of Suffolk County Vote Results]]</totalsRowFormula>
    </tableColumn>
    <tableColumn id="2" xr3:uid="{529010D8-6447-4B52-9AA6-108F49B48584}" name="Total Votes by Candidate" dataDxfId="1933" totalsRowDxfId="1932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7" xr:uid="{3570CC4D-10EA-42FB-AAD9-398667275014}" name="MemberOfAssemblyAssemblyDistrict20General" displayName="MemberOfAssemblyAssemblyDistrict20General" ref="A2:D12" totalsRowCount="1" headerRowDxfId="1722" dataDxfId="1720" headerRowBorderDxfId="1721" tableBorderDxfId="1719" totalsRowBorderDxfId="1718">
  <autoFilter ref="A2:D11" xr:uid="{25DDD440-A88F-479B-BD3F-C74273BAF0E3}">
    <filterColumn colId="0" hiddenButton="1"/>
    <filterColumn colId="1" hiddenButton="1"/>
    <filterColumn colId="2" hiddenButton="1"/>
    <filterColumn colId="3" hiddenButton="1"/>
  </autoFilter>
  <tableColumns count="4">
    <tableColumn id="1" xr3:uid="{888F2E3E-7B6B-433B-A828-FBFCA379F373}" name="Candidate Name (Party)" totalsRowLabel="Total Votes by County" dataDxfId="1717" totalsRowDxfId="1716"/>
    <tableColumn id="4" xr3:uid="{54CB3553-FBC6-4D2C-87A3-2F643FAC5099}" name="Part of Nassau County Vote Results" totalsRowFunction="custom" dataDxfId="1715" totalsRowDxfId="1714">
      <totalsRowFormula>SUBTOTAL(109,MemberOfAssemblyAssemblyDistrict20General[Total Votes by Candidate])</totalsRowFormula>
    </tableColumn>
    <tableColumn id="3" xr3:uid="{BC9FFF4E-B75E-4F61-A70D-7DE829D6271F}" name="Total Votes by Party" totalsRowFunction="custom" dataDxfId="1713" totalsRowDxfId="1712">
      <calculatedColumnFormula>MemberOfAssemblyAssemblyDistrict20General[[#This Row],[Part of Nassau County Vote Results]]</calculatedColumnFormula>
      <totalsRowFormula>MemberOfAssemblyAssemblyDistrict19General[[#This Row],[Part of Nassau County Vote Results]]</totalsRowFormula>
    </tableColumn>
    <tableColumn id="2" xr3:uid="{5129E1C4-F0B0-4C00-AB1C-0DBFF91AAF56}" name="Total Votes by Candidate" dataDxfId="1711" totalsRowDxfId="1710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8" xr:uid="{36232378-F62E-415E-81B5-A6D8EFB726A5}" name="MemberOfAssemblyAssemblyDistrict21General" displayName="MemberOfAssemblyAssemblyDistrict21General" ref="A2:D13" totalsRowCount="1" headerRowDxfId="1709" dataDxfId="1707" headerRowBorderDxfId="1708" tableBorderDxfId="1706" totalsRowBorderDxfId="1705">
  <autoFilter ref="A2:D12" xr:uid="{3A7AD638-8A51-404C-84D4-F61B36DA1329}">
    <filterColumn colId="0" hiddenButton="1"/>
    <filterColumn colId="1" hiddenButton="1"/>
    <filterColumn colId="2" hiddenButton="1"/>
    <filterColumn colId="3" hiddenButton="1"/>
  </autoFilter>
  <tableColumns count="4">
    <tableColumn id="1" xr3:uid="{7E02023B-94DD-4E5A-9123-FFD064167D67}" name="Candidate Name (Party)" totalsRowLabel="Total Votes by County" dataDxfId="1704" totalsRowDxfId="1703"/>
    <tableColumn id="4" xr3:uid="{5A0D87E6-2076-471D-89F0-A8930920489A}" name="Part of Nassau County Vote Results" totalsRowFunction="custom" dataDxfId="1702" totalsRowDxfId="1701">
      <totalsRowFormula>SUBTOTAL(109,MemberOfAssemblyAssemblyDistrict21General[Total Votes by Candidate])</totalsRowFormula>
    </tableColumn>
    <tableColumn id="3" xr3:uid="{23CCD1DD-A240-4A82-9E2E-3A89F9302E50}" name="Total Votes by Party" dataDxfId="1700">
      <calculatedColumnFormula>MemberOfAssemblyAssemblyDistrict21General[[#This Row],[Part of Nassau County Vote Results]]</calculatedColumnFormula>
    </tableColumn>
    <tableColumn id="2" xr3:uid="{441AD0C9-B92F-4BB4-877C-D5DCE4FCA438}" name="Total Votes by Candidate" dataDxfId="1699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9" xr:uid="{7E77924F-1740-4379-B46C-1D70C59108C3}" name="MemberOfAssemblyAssemblyDistrict22General" displayName="MemberOfAssemblyAssemblyDistrict22General" ref="A2:D13" totalsRowCount="1" headerRowDxfId="1698" dataDxfId="1696" headerRowBorderDxfId="1697" tableBorderDxfId="1695" totalsRowBorderDxfId="1694">
  <autoFilter ref="A2:D12" xr:uid="{7C034EBD-E807-4663-97C7-8205AE4A509B}">
    <filterColumn colId="0" hiddenButton="1"/>
    <filterColumn colId="1" hiddenButton="1"/>
    <filterColumn colId="2" hiddenButton="1"/>
    <filterColumn colId="3" hiddenButton="1"/>
  </autoFilter>
  <tableColumns count="4">
    <tableColumn id="1" xr3:uid="{B4F31333-A6ED-4476-A695-088C5EC00B56}" name="Candidate Name (Party)" totalsRowLabel="Total Votes by County" dataDxfId="1693" totalsRowDxfId="1692"/>
    <tableColumn id="4" xr3:uid="{BE52F4D6-CD57-458F-8430-C7D04B218C2A}" name="Part of Nassau County Vote Results" totalsRowFunction="custom" dataDxfId="1691" totalsRowDxfId="1690">
      <totalsRowFormula>SUBTOTAL(109,MemberOfAssemblyAssemblyDistrict22General[Total Votes by Candidate])</totalsRowFormula>
    </tableColumn>
    <tableColumn id="3" xr3:uid="{B154457C-03F8-4266-AEDD-E6DBD52235F4}" name="Total Votes by Party" dataDxfId="1689">
      <calculatedColumnFormula>MemberOfAssemblyAssemblyDistrict22General[[#This Row],[Part of Nassau County Vote Results]]</calculatedColumnFormula>
    </tableColumn>
    <tableColumn id="2" xr3:uid="{17BB118F-31A5-4783-B274-5376A570F3CD}" name="Total Votes by Candidate" dataDxfId="1688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0" xr:uid="{47189042-B921-4B9A-B8AF-78E6109419BF}" name="MemberOfAssemblyAssemblyDistrict23General" displayName="MemberOfAssemblyAssemblyDistrict23General" ref="A2:D10" totalsRowCount="1" headerRowDxfId="1687" dataDxfId="1685" headerRowBorderDxfId="1686" tableBorderDxfId="1684" totalsRowBorderDxfId="1683">
  <autoFilter ref="A2:D9" xr:uid="{679E52F4-40D4-4BED-AB89-6BDD478E0150}">
    <filterColumn colId="0" hiddenButton="1"/>
    <filterColumn colId="1" hiddenButton="1"/>
    <filterColumn colId="2" hiddenButton="1"/>
    <filterColumn colId="3" hiddenButton="1"/>
  </autoFilter>
  <tableColumns count="4">
    <tableColumn id="1" xr3:uid="{EEA52CA8-5569-4BA9-B4AB-A41BD76EE9EF}" name="Candidate Name (Party)" totalsRowLabel="Total Votes by County" dataDxfId="1682" totalsRowDxfId="1681"/>
    <tableColumn id="4" xr3:uid="{C202AFF2-410D-4071-8101-4AF6F82826E3}" name="Part of Queens County Vote Results" totalsRowFunction="custom" dataDxfId="1680" totalsRowDxfId="1679">
      <totalsRowFormula>SUBTOTAL(109,MemberOfAssemblyAssemblyDistrict23General[Total Votes by Candidate])</totalsRowFormula>
    </tableColumn>
    <tableColumn id="3" xr3:uid="{8289E39E-719D-4904-AC40-7453F429D929}" name="Total Votes by Party" totalsRowFunction="custom" dataDxfId="1678" totalsRowDxfId="1677">
      <calculatedColumnFormula>MemberOfAssemblyAssemblyDistrict23General[[#This Row],[Part of Queens County Vote Results]]</calculatedColumnFormula>
      <totalsRowFormula>MemberOfAssemblyAssemblyDistrict22General[[#This Row],[Part of Nassau County Vote Results]]</totalsRowFormula>
    </tableColumn>
    <tableColumn id="2" xr3:uid="{6B853B60-F6CD-4811-AC60-2AF3D961D1FD}" name="Total Votes by Candidate" dataDxfId="1676" totalsRowDxfId="1675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1" xr:uid="{57D469AB-D378-43C1-A2A8-EFA85B18FF4D}" name="MemberOfAssemblyAssemblyDistrict24General" displayName="MemberOfAssemblyAssemblyDistrict24General" ref="A2:D7" totalsRowCount="1" headerRowDxfId="1674" dataDxfId="1672" headerRowBorderDxfId="1673" tableBorderDxfId="1671" totalsRowBorderDxfId="1670">
  <autoFilter ref="A2:D6" xr:uid="{E5428B72-0FEF-4A9C-B5B3-DCA320CD638B}">
    <filterColumn colId="0" hiddenButton="1"/>
    <filterColumn colId="1" hiddenButton="1"/>
    <filterColumn colId="2" hiddenButton="1"/>
    <filterColumn colId="3" hiddenButton="1"/>
  </autoFilter>
  <tableColumns count="4">
    <tableColumn id="1" xr3:uid="{7559C222-E260-4A57-A4D5-EA51981F0201}" name="Candidate Name (Party)" totalsRowLabel="Total Votes by County" dataDxfId="1669" totalsRowDxfId="1668"/>
    <tableColumn id="4" xr3:uid="{41B87276-B046-482F-BE72-EEBACEDA7470}" name="Part of Queens County Vote Results" totalsRowFunction="custom" dataDxfId="1667" totalsRowDxfId="1666">
      <totalsRowFormula>SUBTOTAL(109,MemberOfAssemblyAssemblyDistrict24General[Total Votes by Candidate])</totalsRowFormula>
    </tableColumn>
    <tableColumn id="3" xr3:uid="{40A48B83-D637-4D87-A39D-B0929B23E9FD}" name="Total Votes by Party" totalsRowFunction="custom" dataDxfId="1665" totalsRowDxfId="1664">
      <calculatedColumnFormula>MemberOfAssemblyAssemblyDistrict24General[[#This Row],[Part of Queens County Vote Results]]</calculatedColumnFormula>
      <totalsRowFormula>MemberOfAssemblyAssemblyDistrict23General[[#This Row],[Part of Queens County Vote Results]]</totalsRowFormula>
    </tableColumn>
    <tableColumn id="2" xr3:uid="{450B9C50-8F7B-4AC1-9344-C875DF4AEEFA}" name="Total Votes by Candidate" dataDxfId="1663" totalsRowDxfId="1662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2" xr:uid="{A7589472-F8DB-4C88-9A6D-97AB21CD06C4}" name="MemberOfAssemblyAssemblyDistrict25General" displayName="MemberOfAssemblyAssemblyDistrict25General" ref="A2:D9" totalsRowCount="1" headerRowDxfId="1661" dataDxfId="1659" headerRowBorderDxfId="1660" tableBorderDxfId="1658" totalsRowBorderDxfId="1657">
  <autoFilter ref="A2:D8" xr:uid="{85D3B8C6-1152-498E-B5B7-A6648B0AEC07}">
    <filterColumn colId="0" hiddenButton="1"/>
    <filterColumn colId="1" hiddenButton="1"/>
    <filterColumn colId="2" hiddenButton="1"/>
    <filterColumn colId="3" hiddenButton="1"/>
  </autoFilter>
  <tableColumns count="4">
    <tableColumn id="1" xr3:uid="{B16D1ADB-903A-4E03-A743-4C198CB1AFBC}" name="Candidate Name (Party)" totalsRowLabel="Total Votes by County" dataDxfId="1656" totalsRowDxfId="1655"/>
    <tableColumn id="4" xr3:uid="{20C31316-088A-456F-9739-6AEA97886ED6}" name="Part of Queens County Vote Results" totalsRowFunction="custom" dataDxfId="1654" totalsRowDxfId="1653">
      <totalsRowFormula>SUBTOTAL(109,MemberOfAssemblyAssemblyDistrict25General[Total Votes by Candidate])</totalsRowFormula>
    </tableColumn>
    <tableColumn id="3" xr3:uid="{C0A748FC-7D95-4DFC-AF7B-EBDAE5252127}" name="Total Votes by Party" dataDxfId="1652">
      <calculatedColumnFormula>MemberOfAssemblyAssemblyDistrict25General[[#This Row],[Part of Queens County Vote Results]]</calculatedColumnFormula>
    </tableColumn>
    <tableColumn id="2" xr3:uid="{7B389132-4197-444D-9B07-7D112F4D78D2}" name="Total Votes by Candidate" dataDxfId="1651"/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3" xr:uid="{A30ED3CA-9B00-4581-B9A8-FA7D4373A94B}" name="MemberOfAssemblyAssemblyDistrict26General" displayName="MemberOfAssemblyAssemblyDistrict26General" ref="A2:D13" totalsRowCount="1" headerRowDxfId="1650" dataDxfId="1648" headerRowBorderDxfId="1649" tableBorderDxfId="1647" totalsRowBorderDxfId="1646">
  <autoFilter ref="A2:D12" xr:uid="{8114F151-BBFC-49B5-85E4-D0EA6C816C75}">
    <filterColumn colId="0" hiddenButton="1"/>
    <filterColumn colId="1" hiddenButton="1"/>
    <filterColumn colId="2" hiddenButton="1"/>
    <filterColumn colId="3" hiddenButton="1"/>
  </autoFilter>
  <tableColumns count="4">
    <tableColumn id="1" xr3:uid="{2F6D82B0-B91D-4B60-B320-35FA8E8A1D83}" name="Candidate Name (Party)" totalsRowLabel="Total Votes by County" dataDxfId="1645" totalsRowDxfId="1644"/>
    <tableColumn id="4" xr3:uid="{F678D9C8-0DE5-44F4-B365-3D8611B7A94A}" name="Part of Queens County Vote Results" totalsRowFunction="custom" dataDxfId="1643" totalsRowDxfId="1642">
      <totalsRowFormula>SUBTOTAL(109,MemberOfAssemblyAssemblyDistrict26General[Total Votes by Candidate])</totalsRowFormula>
    </tableColumn>
    <tableColumn id="3" xr3:uid="{23BF9C2C-856E-4FAE-B08A-81E671A58464}" name="Total Votes by Party" dataDxfId="1641">
      <calculatedColumnFormula>MemberOfAssemblyAssemblyDistrict26General[[#This Row],[Part of Queens County Vote Results]]</calculatedColumnFormula>
    </tableColumn>
    <tableColumn id="2" xr3:uid="{9451F2D4-492C-46E8-BF85-078E78359310}" name="Total Votes by Candidate" dataDxfId="1640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4" xr:uid="{DB38729D-1196-4F2B-AF6E-20839A6D5EB4}" name="MemberOfAssemblyAssemblyDistrict27General" displayName="MemberOfAssemblyAssemblyDistrict27General" ref="A2:D8" totalsRowCount="1" headerRowDxfId="1639" dataDxfId="1637" headerRowBorderDxfId="1638" tableBorderDxfId="1636" totalsRowBorderDxfId="1635">
  <autoFilter ref="A2:D7" xr:uid="{315C5E36-9C8F-4DAF-86E8-385D78480754}">
    <filterColumn colId="0" hiddenButton="1"/>
    <filterColumn colId="1" hiddenButton="1"/>
    <filterColumn colId="2" hiddenButton="1"/>
    <filterColumn colId="3" hiddenButton="1"/>
  </autoFilter>
  <tableColumns count="4">
    <tableColumn id="1" xr3:uid="{E095A2E0-A53F-4056-80F2-7E6030284AD7}" name="Candidate Name (Party)" totalsRowLabel="Total Votes by County" dataDxfId="1634" totalsRowDxfId="1633"/>
    <tableColumn id="4" xr3:uid="{607CC697-0DB9-4702-A527-A8F3CB73C7EE}" name="Part of Queens County Vote Results" totalsRowFunction="custom" dataDxfId="1632" totalsRowDxfId="1631">
      <totalsRowFormula>SUBTOTAL(109,MemberOfAssemblyAssemblyDistrict27General[Total Votes by Candidate])</totalsRowFormula>
    </tableColumn>
    <tableColumn id="3" xr3:uid="{7794F110-6816-4F08-AF69-8B268CA3D667}" name="Total Votes by Party" totalsRowFunction="custom" dataDxfId="1630" totalsRowDxfId="1629">
      <calculatedColumnFormula>MemberOfAssemblyAssemblyDistrict27General[[#This Row],[Part of Queens County Vote Results]]</calculatedColumnFormula>
      <totalsRowFormula>MemberOfAssemblyAssemblyDistrict26General[[#This Row],[Part of Queens County Vote Results]]</totalsRowFormula>
    </tableColumn>
    <tableColumn id="2" xr3:uid="{6CD8B2BB-9206-4240-B7A1-54B3271C1EE2}" name="Total Votes by Candidate" dataDxfId="1628" totalsRowDxfId="1627"/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5" xr:uid="{0D690AA2-3DC8-4DC9-9510-455585A9ED62}" name="MemberOfAssemblyAssemblyDistrict28General" displayName="MemberOfAssemblyAssemblyDistrict28General" ref="A2:D11" totalsRowCount="1" headerRowDxfId="1626" dataDxfId="1624" headerRowBorderDxfId="1625" tableBorderDxfId="1623" totalsRowBorderDxfId="1622">
  <autoFilter ref="A2:D10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658AC5C4-BC24-4C24-A4B3-772C4232A3B6}" name="Candidate Name (Party)" totalsRowLabel="Total Votes by County" dataDxfId="1621" totalsRowDxfId="1620"/>
    <tableColumn id="4" xr3:uid="{CC6CBBB8-E79F-491A-BA6D-70C08A615E41}" name="Part of Queens County Vote Results" totalsRowFunction="custom" dataDxfId="1619" totalsRowDxfId="1618">
      <totalsRowFormula>SUBTOTAL(109,MemberOfAssemblyAssemblyDistrict28General[Total Votes by Candidate])</totalsRowFormula>
    </tableColumn>
    <tableColumn id="3" xr3:uid="{CCA88644-0C22-4647-9986-1AC7A6519FBD}" name="Total Votes by Party" dataDxfId="1617">
      <calculatedColumnFormula>MemberOfAssemblyAssemblyDistrict28General[[#This Row],[Part of Queens County Vote Results]]</calculatedColumnFormula>
    </tableColumn>
    <tableColumn id="2" xr3:uid="{1413631F-6E1D-45EE-8265-B86852DFA54C}" name="Total Votes by Candidate" dataDxfId="1616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6" xr:uid="{A7809C06-52F2-4F37-B259-3601D3117E8B}" name="MemberOfAssemblyAssemblyDistrict29General" displayName="MemberOfAssemblyAssemblyDistrict29General" ref="A2:D8" totalsRowCount="1" headerRowDxfId="1615" dataDxfId="1613" headerRowBorderDxfId="1614" tableBorderDxfId="1612" totalsRowBorderDxfId="1611">
  <autoFilter ref="A2:D7" xr:uid="{D7F287CE-B697-428E-8699-CC6846F2CCE4}">
    <filterColumn colId="0" hiddenButton="1"/>
    <filterColumn colId="1" hiddenButton="1"/>
    <filterColumn colId="2" hiddenButton="1"/>
    <filterColumn colId="3" hiddenButton="1"/>
  </autoFilter>
  <tableColumns count="4">
    <tableColumn id="1" xr3:uid="{A0816062-4434-4D41-A7DB-24E2E7EEB044}" name="Candidate Name (Party)" totalsRowLabel="Total Votes by County" dataDxfId="1610" totalsRowDxfId="1609"/>
    <tableColumn id="4" xr3:uid="{B3C96D29-57E5-4AE2-9C86-AA8522810185}" name="Part of Queens County Vote Results" totalsRowFunction="custom" dataDxfId="1608" totalsRowDxfId="1607">
      <totalsRowFormula>SUBTOTAL(109,MemberOfAssemblyAssemblyDistrict29General[Total Votes by Candidate])</totalsRowFormula>
    </tableColumn>
    <tableColumn id="3" xr3:uid="{0C5FB926-BCF4-4CA6-BD05-533B9992600D}" name="Total Votes by Party" totalsRowFunction="custom" dataDxfId="1606" totalsRowDxfId="1605">
      <calculatedColumnFormula>MemberOfAssemblyAssemblyDistrict29General[[#This Row],[Part of Queens County Vote Results]]</calculatedColumnFormula>
      <totalsRowFormula>MemberOfAssemblyAssemblyDistrict28General[[#This Row],[Part of Queens County Vote Results]]</totalsRowFormula>
    </tableColumn>
    <tableColumn id="2" xr3:uid="{2F64F4CC-6C07-4EBE-BAB5-28AF046D2FAE}" name="Total Votes by Candidate" dataDxfId="1604" totalsRowDxfId="1603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5" xr:uid="{B2FD8047-0B28-4270-BA7F-78BDB8691F93}" name="MemberOfAssemblyAssemblyDistrict3General" displayName="MemberOfAssemblyAssemblyDistrict3General" ref="A2:D11" totalsRowCount="1" headerRowDxfId="1931" dataDxfId="1929" headerRowBorderDxfId="1930" tableBorderDxfId="1928" totalsRowBorderDxfId="1927">
  <autoFilter ref="A2:D10" xr:uid="{17193FA3-73E2-4E8E-A735-DC6FDE74813C}">
    <filterColumn colId="0" hiddenButton="1"/>
    <filterColumn colId="1" hiddenButton="1"/>
    <filterColumn colId="2" hiddenButton="1"/>
    <filterColumn colId="3" hiddenButton="1"/>
  </autoFilter>
  <tableColumns count="4">
    <tableColumn id="1" xr3:uid="{B3381315-40BF-4E2B-B30B-F8E88C7792E5}" name="Candidate Name (Party)" totalsRowLabel="Total Votes by County" dataDxfId="1926" totalsRowDxfId="1925"/>
    <tableColumn id="4" xr3:uid="{6CF7A6FE-A331-4312-873F-3AAB2A1DD928}" name="Part of Suffolk County Vote Results" totalsRowFunction="custom" dataDxfId="1924" totalsRowDxfId="1923">
      <totalsRowFormula>SUBTOTAL(109,MemberOfAssemblyAssemblyDistrict3General[Total Votes by Candidate])</totalsRowFormula>
    </tableColumn>
    <tableColumn id="3" xr3:uid="{5A1451B3-9BC8-41CA-A295-91FF3439F1D7}" name="Total Votes by Party" dataDxfId="1922">
      <calculatedColumnFormula>MemberOfAssemblyAssemblyDistrict3General[[#This Row],[Part of Suffolk County Vote Results]]</calculatedColumnFormula>
    </tableColumn>
    <tableColumn id="2" xr3:uid="{AC6E9BAF-A919-46BF-AD7F-2539193CD93A}" name="Total Votes by Candidate" dataDxfId="1921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7" xr:uid="{AF0C957E-98B0-4327-A523-D644B6F630F9}" name="MemberOfAssemblyAssemblyDistrict30General" displayName="MemberOfAssemblyAssemblyDistrict30General" ref="A2:D11" totalsRowCount="1" headerRowDxfId="1602" dataDxfId="1600" headerRowBorderDxfId="1601" tableBorderDxfId="1599" totalsRowBorderDxfId="1598">
  <autoFilter ref="A2:D10" xr:uid="{B5059E8C-6AED-43A3-88F6-785E94166D39}">
    <filterColumn colId="0" hiddenButton="1"/>
    <filterColumn colId="1" hiddenButton="1"/>
    <filterColumn colId="2" hiddenButton="1"/>
    <filterColumn colId="3" hiddenButton="1"/>
  </autoFilter>
  <tableColumns count="4">
    <tableColumn id="1" xr3:uid="{71A4A2C9-2633-49FE-9EC2-795102E6EB2C}" name="Candidate Name (Party)" totalsRowLabel="Total Votes by County" dataDxfId="1597" totalsRowDxfId="1596"/>
    <tableColumn id="4" xr3:uid="{838161AB-61FD-4A4F-8AE2-16F876798F63}" name="Part of Queens County Vote Results" totalsRowFunction="custom" dataDxfId="1595" totalsRowDxfId="1594">
      <totalsRowFormula>SUBTOTAL(109,MemberOfAssemblyAssemblyDistrict30General[Total Votes by Candidate])</totalsRowFormula>
    </tableColumn>
    <tableColumn id="3" xr3:uid="{264A472F-A855-4261-A7BA-9635B3C501D0}" name="Total Votes by Party" dataDxfId="1593">
      <calculatedColumnFormula>MemberOfAssemblyAssemblyDistrict30General[[#This Row],[Part of Queens County Vote Results]]</calculatedColumnFormula>
    </tableColumn>
    <tableColumn id="2" xr3:uid="{38D9A3B3-A97B-4152-9654-83AFB0C1B788}" name="Total Votes by Candidate" dataDxfId="1592"/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8" xr:uid="{2CEE2B62-869B-4194-921F-31150F4B50AD}" name="MemberOfAssemblyAssemblyDistrict31General" displayName="MemberOfAssemblyAssemblyDistrict31General" ref="A2:D8" totalsRowCount="1" headerRowDxfId="1591" dataDxfId="1589" headerRowBorderDxfId="1590" tableBorderDxfId="1588" totalsRowBorderDxfId="1587">
  <autoFilter ref="A2:D7" xr:uid="{ED204ABA-78AA-47E6-9362-4C0F24E39B3E}">
    <filterColumn colId="0" hiddenButton="1"/>
    <filterColumn colId="1" hiddenButton="1"/>
    <filterColumn colId="2" hiddenButton="1"/>
    <filterColumn colId="3" hiddenButton="1"/>
  </autoFilter>
  <tableColumns count="4">
    <tableColumn id="1" xr3:uid="{0FD9F51A-CC15-4163-9BE4-E89ACC351CA8}" name="Candidate Name (Party)" totalsRowLabel="Total Votes by County" dataDxfId="1586" totalsRowDxfId="1585"/>
    <tableColumn id="4" xr3:uid="{2E5C48FA-34CB-4464-974A-27EB641617F2}" name="Part of Queens County Vote Results" totalsRowFunction="custom" dataDxfId="1584" totalsRowDxfId="1583">
      <totalsRowFormula>SUBTOTAL(109,MemberOfAssemblyAssemblyDistrict31General[Total Votes by Candidate])</totalsRowFormula>
    </tableColumn>
    <tableColumn id="3" xr3:uid="{44920F8D-25F9-41DB-B1B8-B32E9608597F}" name="Total Votes by Party" totalsRowFunction="custom" dataDxfId="1582" totalsRowDxfId="1581">
      <calculatedColumnFormula>MemberOfAssemblyAssemblyDistrict31General[[#This Row],[Part of Queens County Vote Results]]</calculatedColumnFormula>
      <totalsRowFormula>MemberOfAssemblyAssemblyDistrict30General[[#This Row],[Part of Queens County Vote Results]]</totalsRowFormula>
    </tableColumn>
    <tableColumn id="2" xr3:uid="{7C72BC9B-0AFD-4A5F-8995-CE60AA3BD214}" name="Total Votes by Candidate" dataDxfId="1580" totalsRowDxfId="1579">
      <calculatedColumnFormula>SUM(C3:C4)</calculatedColumnFormula>
    </tableColumn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B2FA2A0F-0F13-413E-9D5C-521B5990CBD2}" name="MemberOfAssemblyAssemblyDistrict32General" displayName="MemberOfAssemblyAssemblyDistrict32General" ref="A2:D7" totalsRowCount="1" headerRowDxfId="1578" dataDxfId="1576" headerRowBorderDxfId="1577" tableBorderDxfId="1575" totalsRowBorderDxfId="1574">
  <autoFilter ref="A2:D6" xr:uid="{4DAC385A-82AE-4B93-BECC-64FD7EEA86D9}">
    <filterColumn colId="0" hiddenButton="1"/>
    <filterColumn colId="1" hiddenButton="1"/>
    <filterColumn colId="2" hiddenButton="1"/>
    <filterColumn colId="3" hiddenButton="1"/>
  </autoFilter>
  <tableColumns count="4">
    <tableColumn id="1" xr3:uid="{8C6E8C38-F385-4CCB-9D40-BC47BA7C92CC}" name="Candidate Name (Party)" totalsRowLabel="Total Votes by County" dataDxfId="1573" totalsRowDxfId="1572"/>
    <tableColumn id="4" xr3:uid="{72841FDC-7707-4E48-A57A-C870AAD15F27}" name="Part of Queens County Vote Results" totalsRowFunction="custom" dataDxfId="1571" totalsRowDxfId="1570">
      <totalsRowFormula>SUBTOTAL(109,MemberOfAssemblyAssemblyDistrict32General[Total Votes by Candidate])</totalsRowFormula>
    </tableColumn>
    <tableColumn id="3" xr3:uid="{CB622DA1-7B49-4305-810C-C4A0A7353873}" name="Total Votes by Party" totalsRowFunction="custom" dataDxfId="1569" totalsRowDxfId="1568">
      <calculatedColumnFormula>MemberOfAssemblyAssemblyDistrict32General[[#This Row],[Part of Queens County Vote Results]]</calculatedColumnFormula>
      <totalsRowFormula>MemberOfAssemblyAssemblyDistrict31General[[#This Row],[Part of Queens County Vote Results]]</totalsRowFormula>
    </tableColumn>
    <tableColumn id="2" xr3:uid="{9159DEF0-5CFA-40A6-A53C-50B3AA001E76}" name="Total Votes by Candidate" dataDxfId="1567" totalsRowDxfId="1566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0" xr:uid="{464BE774-6BFD-46F8-8A4A-9BB805D851AB}" name="MemberOfAssemblyAssemblyDistrict33General" displayName="MemberOfAssemblyAssemblyDistrict33General" ref="A2:D11" totalsRowCount="1" headerRowDxfId="1565" dataDxfId="1563" headerRowBorderDxfId="1564" tableBorderDxfId="1562" totalsRowBorderDxfId="1561">
  <autoFilter ref="A2:D10" xr:uid="{B4ECF71C-0BF6-4688-8134-CA1EDCBF44BC}">
    <filterColumn colId="0" hiddenButton="1"/>
    <filterColumn colId="1" hiddenButton="1"/>
    <filterColumn colId="2" hiddenButton="1"/>
    <filterColumn colId="3" hiddenButton="1"/>
  </autoFilter>
  <tableColumns count="4">
    <tableColumn id="1" xr3:uid="{500BB82F-EF69-4D19-8DB2-A4F7AF069143}" name="Candidate Name (Party)" totalsRowLabel="Total Votes by County" dataDxfId="1560" totalsRowDxfId="1559"/>
    <tableColumn id="4" xr3:uid="{ED73E812-1020-4AB1-B0C8-FB255E934578}" name="Part of Queens County Vote Results" totalsRowFunction="custom" dataDxfId="1558" totalsRowDxfId="1557">
      <totalsRowFormula>SUBTOTAL(109,MemberOfAssemblyAssemblyDistrict33General[Total Votes by Candidate])</totalsRowFormula>
    </tableColumn>
    <tableColumn id="3" xr3:uid="{BCA4C7EA-A7C1-40E7-A7E0-1BFBCDC91D0E}" name="Total Votes by Party" dataDxfId="1556">
      <calculatedColumnFormula>MemberOfAssemblyAssemblyDistrict33General[[#This Row],[Part of Queens County Vote Results]]</calculatedColumnFormula>
    </tableColumn>
    <tableColumn id="2" xr3:uid="{8DCA75AD-AD7C-4540-8374-FC7A0B6F4930}" name="Total Votes by Candidate" dataDxfId="1555"/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1" xr:uid="{B3839819-E810-47BB-8335-5A5291EF20C5}" name="MemberOfAssemblyAssemblyDistrict34General" displayName="MemberOfAssemblyAssemblyDistrict34General" ref="A2:D7" totalsRowCount="1" headerRowDxfId="1554" dataDxfId="1552" headerRowBorderDxfId="1553" tableBorderDxfId="1551" totalsRowBorderDxfId="1550">
  <autoFilter ref="A2:D6" xr:uid="{17A2092C-D04F-49FE-A19A-7D1A5B52CBAE}">
    <filterColumn colId="0" hiddenButton="1"/>
    <filterColumn colId="1" hiddenButton="1"/>
    <filterColumn colId="2" hiddenButton="1"/>
    <filterColumn colId="3" hiddenButton="1"/>
  </autoFilter>
  <tableColumns count="4">
    <tableColumn id="1" xr3:uid="{A17B8629-B6BF-4BF3-B5D6-3CD7906F09D6}" name="Candidate Name (Party)" totalsRowLabel="Total Votes by County" dataDxfId="1549" totalsRowDxfId="1548"/>
    <tableColumn id="4" xr3:uid="{A8796775-D3B5-4570-94BD-4C70D149B8F2}" name="Part of Queens County Vote Results" totalsRowFunction="custom" dataDxfId="1547" totalsRowDxfId="1546">
      <totalsRowFormula>SUBTOTAL(109,MemberOfAssemblyAssemblyDistrict34General[Total Votes by Candidate])</totalsRowFormula>
    </tableColumn>
    <tableColumn id="3" xr3:uid="{AC248EBF-4754-4E59-9822-F234E74D71E9}" name="Total Votes by Party" totalsRowFunction="custom" dataDxfId="1545" totalsRowDxfId="1544">
      <calculatedColumnFormula>MemberOfAssemblyAssemblyDistrict34General[[#This Row],[Part of Queens County Vote Results]]</calculatedColumnFormula>
      <totalsRowFormula>MemberOfAssemblyAssemblyDistrict33General[[#This Row],[Part of Queens County Vote Results]]</totalsRowFormula>
    </tableColumn>
    <tableColumn id="2" xr3:uid="{8229AAAA-5A36-4CDF-B46A-1EEDF58B060F}" name="Total Votes by Candidate" dataDxfId="1543" totalsRowDxfId="1542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2" xr:uid="{0EBBF781-9A59-4DF2-AF9D-B2B0C85AA839}" name="MemberOfAssemblyAssemblyDistrict35General" displayName="MemberOfAssemblyAssemblyDistrict35General" ref="A2:D7" totalsRowCount="1" headerRowDxfId="1541" dataDxfId="1539" headerRowBorderDxfId="1540" tableBorderDxfId="1538" totalsRowBorderDxfId="1537">
  <autoFilter ref="A2:D6" xr:uid="{1EB8363C-646C-4620-B421-B6C3565C17E2}">
    <filterColumn colId="0" hiddenButton="1"/>
    <filterColumn colId="1" hiddenButton="1"/>
    <filterColumn colId="2" hiddenButton="1"/>
    <filterColumn colId="3" hiddenButton="1"/>
  </autoFilter>
  <tableColumns count="4">
    <tableColumn id="1" xr3:uid="{BB334474-C4E4-4F3F-B262-62160B4FA30F}" name="Candidate Name (Party)" totalsRowLabel="Total Votes by County" dataDxfId="1536" totalsRowDxfId="1535"/>
    <tableColumn id="4" xr3:uid="{A8E1878D-3ABE-481E-B563-CECCC3967A27}" name="Part of Queens County Vote Results" totalsRowFunction="custom" dataDxfId="1534" totalsRowDxfId="1533">
      <totalsRowFormula>SUBTOTAL(109,MemberOfAssemblyAssemblyDistrict35General[Total Votes by Candidate])</totalsRowFormula>
    </tableColumn>
    <tableColumn id="3" xr3:uid="{5CBACD6A-8883-4F1D-8DBE-FCE1D023C000}" name="Total Votes by Party" totalsRowFunction="custom" dataDxfId="1532" totalsRowDxfId="1531">
      <calculatedColumnFormula>MemberOfAssemblyAssemblyDistrict35General[[#This Row],[Part of Queens County Vote Results]]</calculatedColumnFormula>
      <totalsRowFormula>MemberOfAssemblyAssemblyDistrict33General[[#This Row],[Part of Queens County Vote Results]]</totalsRowFormula>
    </tableColumn>
    <tableColumn id="2" xr3:uid="{E1E520CD-F140-4BFA-A614-3ABE5A43E3F0}" name="Total Votes by Candidate" dataDxfId="1530" totalsRowDxfId="1529"/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3" xr:uid="{8DCE34D2-9795-4B5A-AAF3-80C0BB1061CC}" name="MemberOfAssemblyAssemblyDistrict36General" displayName="MemberOfAssemblyAssemblyDistrict36General" ref="A2:D8" totalsRowCount="1" headerRowDxfId="1528" dataDxfId="1526" headerRowBorderDxfId="1527" tableBorderDxfId="1525" totalsRowBorderDxfId="1524">
  <autoFilter ref="A2:D7" xr:uid="{31DCC498-482B-4F33-BE43-0400294C2D8A}">
    <filterColumn colId="0" hiddenButton="1"/>
    <filterColumn colId="1" hiddenButton="1"/>
    <filterColumn colId="2" hiddenButton="1"/>
    <filterColumn colId="3" hiddenButton="1"/>
  </autoFilter>
  <tableColumns count="4">
    <tableColumn id="1" xr3:uid="{8E994109-189D-47A5-A775-D32ECE9CB1C9}" name="Candidate Name (Party)" totalsRowLabel="Total Votes by County" dataDxfId="1523" totalsRowDxfId="1522"/>
    <tableColumn id="4" xr3:uid="{D4F5810C-F1AB-4509-8D20-235FF96CC18E}" name="Part of Queens County Vote Results" totalsRowFunction="custom" dataDxfId="1521" totalsRowDxfId="1520">
      <totalsRowFormula>SUBTOTAL(109,MemberOfAssemblyAssemblyDistrict36General[Total Votes by Candidate])</totalsRowFormula>
    </tableColumn>
    <tableColumn id="3" xr3:uid="{D998F40A-6E71-488B-A077-CA3AADADC8B9}" name="Total Votes by Party" dataDxfId="1519">
      <calculatedColumnFormula>MemberOfAssemblyAssemblyDistrict36General[[#This Row],[Part of Queens County Vote Results]]</calculatedColumnFormula>
    </tableColumn>
    <tableColumn id="2" xr3:uid="{03198273-14D5-4294-9E65-8A3F1A4B3F07}" name="Total Votes by Candidate" dataDxfId="1518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4" xr:uid="{EDBC8DBB-C4DB-4537-9086-340C279AB07F}" name="MemberOfAssemblyAssemblyDistrict37General" displayName="MemberOfAssemblyAssemblyDistrict37General" ref="A2:D8" totalsRowCount="1" headerRowDxfId="1517" dataDxfId="1515" headerRowBorderDxfId="1516" tableBorderDxfId="1514" totalsRowBorderDxfId="1513">
  <autoFilter ref="A2:D7" xr:uid="{6234759C-B62B-4523-B671-315DE9E93999}">
    <filterColumn colId="0" hiddenButton="1"/>
    <filterColumn colId="1" hiddenButton="1"/>
    <filterColumn colId="2" hiddenButton="1"/>
    <filterColumn colId="3" hiddenButton="1"/>
  </autoFilter>
  <tableColumns count="4">
    <tableColumn id="1" xr3:uid="{D754A393-EECD-4E48-9878-CCAA22D1C114}" name="Candidate Name (Party)" totalsRowLabel="Total Votes by County" dataDxfId="1512" totalsRowDxfId="1511"/>
    <tableColumn id="4" xr3:uid="{4EAAD1C0-DF6B-4111-AB14-B31EB1A22B21}" name="Part of Queens County Vote Results" totalsRowFunction="custom" dataDxfId="1510" totalsRowDxfId="1509">
      <totalsRowFormula>SUBTOTAL(109,MemberOfAssemblyAssemblyDistrict37General[Total Votes by Candidate])</totalsRowFormula>
    </tableColumn>
    <tableColumn id="3" xr3:uid="{6F54F134-2B43-43BD-8144-3E8990B540B3}" name="Total Votes by Party" dataDxfId="1508">
      <calculatedColumnFormula>MemberOfAssemblyAssemblyDistrict37General[[#This Row],[Part of Queens County Vote Results]]</calculatedColumnFormula>
    </tableColumn>
    <tableColumn id="2" xr3:uid="{165D39B9-2BB2-4E8E-A6EB-E753CD21D6D4}" name="Total Votes by Candidate" dataDxfId="1507"/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5" xr:uid="{D03AC32B-264E-40C6-B387-4FD5CB17BBDF}" name="MemberOfAssemblyAssemblyDistrict38General" displayName="MemberOfAssemblyAssemblyDistrict38General" ref="A2:D8" totalsRowCount="1" headerRowDxfId="1506" dataDxfId="1504" headerRowBorderDxfId="1505" tableBorderDxfId="1503" totalsRowBorderDxfId="1502">
  <autoFilter ref="A2:D7" xr:uid="{9B4D3939-FAFD-41E4-BE4A-89D8C63A9B13}">
    <filterColumn colId="0" hiddenButton="1"/>
    <filterColumn colId="1" hiddenButton="1"/>
    <filterColumn colId="2" hiddenButton="1"/>
    <filterColumn colId="3" hiddenButton="1"/>
  </autoFilter>
  <tableColumns count="4">
    <tableColumn id="1" xr3:uid="{99FDE2E1-E3C4-4F43-861F-E033B16617B2}" name="Candidate Name (Party)" totalsRowLabel="Total Votes by County" dataDxfId="1501" totalsRowDxfId="1500"/>
    <tableColumn id="4" xr3:uid="{9370143D-E3D7-4E93-B379-9B206FDBE2D2}" name="Part of Queens County Vote Results" totalsRowFunction="custom" dataDxfId="1499" totalsRowDxfId="1498">
      <totalsRowFormula>SUBTOTAL(109,MemberOfAssemblyAssemblyDistrict38General[Total Votes by Candidate])</totalsRowFormula>
    </tableColumn>
    <tableColumn id="3" xr3:uid="{8E737A43-182F-493B-8EA4-9A62CDB7082B}" name="Total Votes by Party" dataDxfId="1497">
      <calculatedColumnFormula>MemberOfAssemblyAssemblyDistrict38General[[#This Row],[Part of Queens County Vote Results]]</calculatedColumnFormula>
    </tableColumn>
    <tableColumn id="2" xr3:uid="{10ABF9B4-0659-41D3-B3D9-9EA773E30CEB}" name="Total Votes by Candidate" dataDxfId="1496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6" xr:uid="{C96CDABA-F874-49C5-852F-C8714B4D27BF}" name="MemberOfAssemblyAssemblyDistrict39General" displayName="MemberOfAssemblyAssemblyDistrict39General" ref="A2:D10" totalsRowCount="1" headerRowDxfId="1495" dataDxfId="1493" headerRowBorderDxfId="1494" tableBorderDxfId="1492" totalsRowBorderDxfId="1491">
  <autoFilter ref="A2:D9" xr:uid="{BEC8AD1F-1472-4FA5-863E-8D544C0F76D7}">
    <filterColumn colId="0" hiddenButton="1"/>
    <filterColumn colId="1" hiddenButton="1"/>
    <filterColumn colId="2" hiddenButton="1"/>
    <filterColumn colId="3" hiddenButton="1"/>
  </autoFilter>
  <tableColumns count="4">
    <tableColumn id="1" xr3:uid="{1279409E-C017-4C95-B6B3-BBDB4DECCED5}" name="Candidate Name (Party)" totalsRowLabel="Total Votes by County" dataDxfId="1490" totalsRowDxfId="1489"/>
    <tableColumn id="4" xr3:uid="{F91A584C-6B90-4D0E-B074-880BEE3141A2}" name="Part of Queens County Vote Results" totalsRowFunction="custom" dataDxfId="1488" totalsRowDxfId="1487">
      <totalsRowFormula>SUBTOTAL(109,MemberOfAssemblyAssemblyDistrict39General[Total Votes by Candidate])</totalsRowFormula>
    </tableColumn>
    <tableColumn id="3" xr3:uid="{2B73AB47-3FB4-4568-8714-B27B4C7902DF}" name="Total Votes by Party" dataDxfId="1486">
      <calculatedColumnFormula>MemberOfAssemblyAssemblyDistrict39General[[#This Row],[Part of Queens County Vote Results]]</calculatedColumnFormula>
    </tableColumn>
    <tableColumn id="2" xr3:uid="{65ED47A8-7165-4F97-A56C-7CEA49089606}" name="Total Votes by Candidate" dataDxfId="1485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6" xr:uid="{E0A40BAA-D274-4D9C-B5D4-45EFA5A8FF1C}" name="MemberOfAssemblyAssemblyDistrict4General" displayName="MemberOfAssemblyAssemblyDistrict4General" ref="A2:D12" totalsRowCount="1" headerRowDxfId="1920" dataDxfId="1918" headerRowBorderDxfId="1919" tableBorderDxfId="1917" totalsRowBorderDxfId="1916">
  <autoFilter ref="A2:D11" xr:uid="{C1DA58BB-00F7-421C-9DB1-B620D56EBEEE}">
    <filterColumn colId="0" hiddenButton="1"/>
    <filterColumn colId="1" hiddenButton="1"/>
    <filterColumn colId="2" hiddenButton="1"/>
    <filterColumn colId="3" hiddenButton="1"/>
  </autoFilter>
  <tableColumns count="4">
    <tableColumn id="1" xr3:uid="{F3B63C79-F394-4D11-8604-D708C6BBCF81}" name="Candidate Name (Party)" totalsRowLabel="Total Votes by County" dataDxfId="1915" totalsRowDxfId="1914"/>
    <tableColumn id="4" xr3:uid="{31F71C12-068A-4279-9318-B4965CD74815}" name="Part of Suffolk County Vote Results" totalsRowFunction="custom" dataDxfId="1913" totalsRowDxfId="1912">
      <totalsRowFormula>SUBTOTAL(109,MemberOfAssemblyAssemblyDistrict4General[Total Votes by Candidate])</totalsRowFormula>
    </tableColumn>
    <tableColumn id="3" xr3:uid="{22241707-6B9E-434A-8D18-3596C8AF2CEC}" name="Total Votes by Party" dataDxfId="1911">
      <calculatedColumnFormula>MemberOfAssemblyAssemblyDistrict4General[[#This Row],[Part of Suffolk County Vote Results]]</calculatedColumnFormula>
    </tableColumn>
    <tableColumn id="2" xr3:uid="{414AA91F-1515-425F-96C7-13E416E40F1A}" name="Total Votes by Candidate" dataDxfId="1910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7" xr:uid="{E79A2646-3498-459D-8A18-F9A37973AA23}" name="MemberOfAssemblyAssemblyDistrict40General" displayName="MemberOfAssemblyAssemblyDistrict40General" ref="A2:D9" totalsRowCount="1" headerRowDxfId="1484" dataDxfId="1482" headerRowBorderDxfId="1483" tableBorderDxfId="1481" totalsRowBorderDxfId="1480">
  <autoFilter ref="A2:D8" xr:uid="{B9EEE381-163E-435C-B9FB-96CE851BCFFC}">
    <filterColumn colId="0" hiddenButton="1"/>
    <filterColumn colId="1" hiddenButton="1"/>
    <filterColumn colId="2" hiddenButton="1"/>
    <filterColumn colId="3" hiddenButton="1"/>
  </autoFilter>
  <tableColumns count="4">
    <tableColumn id="1" xr3:uid="{2FAD3A94-4CBE-4EE9-AB8B-BC101C44FE74}" name="Candidate Name (Party)" totalsRowLabel="Total Votes by County" dataDxfId="1479" totalsRowDxfId="1478"/>
    <tableColumn id="4" xr3:uid="{0E6A84EB-8958-4ABB-91F2-C7CD85A1CE49}" name="Part of Queens County Vote Results" totalsRowFunction="custom" dataDxfId="1477" totalsRowDxfId="1476">
      <totalsRowFormula>SUBTOTAL(109,MemberOfAssemblyAssemblyDistrict40General[Total Votes by Candidate])</totalsRowFormula>
    </tableColumn>
    <tableColumn id="3" xr3:uid="{88F96E9E-CF72-4D6C-8901-A9255C01158D}" name="Total Votes by Party" totalsRowFunction="custom" dataDxfId="1475" totalsRowDxfId="1474">
      <calculatedColumnFormula>MemberOfAssemblyAssemblyDistrict40General[[#This Row],[Part of Queens County Vote Results]]</calculatedColumnFormula>
      <totalsRowFormula>MemberOfAssemblyAssemblyDistrict39General[[#This Row],[Part of Queens County Vote Results]]</totalsRowFormula>
    </tableColumn>
    <tableColumn id="2" xr3:uid="{2D3270D1-BD26-4804-869B-7F76939941D8}" name="Total Votes by Candidate" dataDxfId="1473" totalsRowDxfId="1472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8" xr:uid="{B596EE6C-53FA-4577-A194-802AFFB7E1CC}" name="MemberOfAssemblyAssemblyDistrict41General" displayName="MemberOfAssemblyAssemblyDistrict41General" ref="A2:D8" totalsRowCount="1" headerRowDxfId="1471" dataDxfId="1469" headerRowBorderDxfId="1470" tableBorderDxfId="1468" totalsRowBorderDxfId="1467">
  <autoFilter ref="A2:D7" xr:uid="{E913C536-E0A8-4B7A-8CEB-34AD3DFB923F}">
    <filterColumn colId="0" hiddenButton="1"/>
    <filterColumn colId="1" hiddenButton="1"/>
    <filterColumn colId="2" hiddenButton="1"/>
    <filterColumn colId="3" hiddenButton="1"/>
  </autoFilter>
  <tableColumns count="4">
    <tableColumn id="1" xr3:uid="{B920930D-6BFB-48C6-A230-4589532A380A}" name="Candidate Name (Party)" totalsRowLabel="Total Votes by County" dataDxfId="1466" totalsRowDxfId="1465"/>
    <tableColumn id="4" xr3:uid="{A2F199E3-1C89-434D-966C-9ACCCB837372}" name="Part of Kings County Vote Results" totalsRowFunction="custom" dataDxfId="1464" totalsRowDxfId="1463">
      <totalsRowFormula>SUBTOTAL(109,MemberOfAssemblyAssemblyDistrict41General[Total Votes by Candidate])</totalsRowFormula>
    </tableColumn>
    <tableColumn id="3" xr3:uid="{DD0A95C4-3166-49F5-BAC2-E54403E9A513}" name="Total Votes by Party" totalsRowFunction="custom" dataDxfId="1462" totalsRowDxfId="1461">
      <calculatedColumnFormula>MemberOfAssemblyAssemblyDistrict41General[[#This Row],[Part of Kings County Vote Results]]</calculatedColumnFormula>
      <totalsRowFormula>MemberOfAssemblyAssemblyDistrict40General[[#This Row],[Part of Queens County Vote Results]]</totalsRowFormula>
    </tableColumn>
    <tableColumn id="2" xr3:uid="{09166DD7-CB73-4315-B1B7-6CCEE67E5E47}" name="Total Votes by Candidate" dataDxfId="1460" totalsRowDxfId="1459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9" xr:uid="{12EF5931-D226-4C31-AEE0-4EC73FE052DB}" name="MemberOfAssemblyAssemblyDistrict42General" displayName="MemberOfAssemblyAssemblyDistrict42General" ref="A2:D11" totalsRowCount="1" headerRowDxfId="1458" dataDxfId="1456" headerRowBorderDxfId="1457" tableBorderDxfId="1455" totalsRowBorderDxfId="1454">
  <autoFilter ref="A2:D10" xr:uid="{02027DAB-EEA2-4592-AAA2-F47BF2CD7479}">
    <filterColumn colId="0" hiddenButton="1"/>
    <filterColumn colId="1" hiddenButton="1"/>
    <filterColumn colId="2" hiddenButton="1"/>
    <filterColumn colId="3" hiddenButton="1"/>
  </autoFilter>
  <tableColumns count="4">
    <tableColumn id="1" xr3:uid="{6487C790-DE79-4B65-B5F3-13A4686F4EF1}" name="Candidate Name (Party)" totalsRowLabel="Total Votes by County" dataDxfId="1453" totalsRowDxfId="1452"/>
    <tableColumn id="4" xr3:uid="{69C80960-F6E6-4365-B383-68B990DAA10A}" name="Part of Kings County Vote Results" totalsRowFunction="custom" dataDxfId="1451" totalsRowDxfId="1450">
      <totalsRowFormula>SUBTOTAL(109,MemberOfAssemblyAssemblyDistrict42General[Total Votes by Candidate])</totalsRowFormula>
    </tableColumn>
    <tableColumn id="3" xr3:uid="{08AA0614-3300-4B17-BAD6-4752ACA9159C}" name="Total Votes by Party" dataDxfId="1449">
      <calculatedColumnFormula>MemberOfAssemblyAssemblyDistrict42General[[#This Row],[Part of Kings County Vote Results]]</calculatedColumnFormula>
    </tableColumn>
    <tableColumn id="2" xr3:uid="{06E15EE5-1A41-4877-A8A0-EE0079AC8A4C}" name="Total Votes by Candidate" dataDxfId="1448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0" xr:uid="{47E93BB5-70FF-4937-A7E0-D459D7E45B2A}" name="MemberOfAssemblyAssemblyDistrict43General" displayName="MemberOfAssemblyAssemblyDistrict43General" ref="A2:D8" totalsRowCount="1" headerRowDxfId="1447" dataDxfId="1445" headerRowBorderDxfId="1446" tableBorderDxfId="1444" totalsRowBorderDxfId="1443">
  <autoFilter ref="A2:D7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CEB26F5D-8F96-4200-891D-969CF7DF2182}" name="Candidate Name (Party)" totalsRowLabel="Total Votes by County" dataDxfId="1442" totalsRowDxfId="1441"/>
    <tableColumn id="4" xr3:uid="{7637F4CA-0F4A-4407-8C74-4A80428C6B08}" name="Part of Kings County Vote Results" totalsRowFunction="custom" dataDxfId="1440" totalsRowDxfId="1439">
      <totalsRowFormula>SUBTOTAL(109,MemberOfAssemblyAssemblyDistrict43General[Total Votes by Candidate])</totalsRowFormula>
    </tableColumn>
    <tableColumn id="3" xr3:uid="{C6364F75-006A-4D1C-8984-08495E2AB726}" name="Total Votes by Party" totalsRowFunction="custom" dataDxfId="1438" totalsRowDxfId="1437">
      <calculatedColumnFormula>MemberOfAssemblyAssemblyDistrict43General[[#This Row],[Part of Kings County Vote Results]]</calculatedColumnFormula>
      <totalsRowFormula>MemberOfAssemblyAssemblyDistrict42General[[#This Row],[Part of Kings County Vote Results]]</totalsRowFormula>
    </tableColumn>
    <tableColumn id="2" xr3:uid="{8E107B18-8F78-443D-B9BD-A75DDD728B30}" name="Total Votes by Candidate" dataDxfId="1436" totalsRowDxfId="1435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1" xr:uid="{C9BE7912-391C-484E-B4E0-D863668CD96C}" name="MemberOfAssemblyAssemblyDistrict44General" displayName="MemberOfAssemblyAssemblyDistrict44General" ref="A2:D11" totalsRowCount="1" headerRowDxfId="1434" dataDxfId="1432" headerRowBorderDxfId="1433" tableBorderDxfId="1431" totalsRowBorderDxfId="1430">
  <autoFilter ref="A2:D10" xr:uid="{BF443498-A9FC-4D58-8AD9-9DD17D2D8AD3}">
    <filterColumn colId="0" hiddenButton="1"/>
    <filterColumn colId="1" hiddenButton="1"/>
    <filterColumn colId="2" hiddenButton="1"/>
    <filterColumn colId="3" hiddenButton="1"/>
  </autoFilter>
  <tableColumns count="4">
    <tableColumn id="1" xr3:uid="{4311CA32-8394-4519-8EA6-80733B28F8A0}" name="Candidate Name (Party)" totalsRowLabel="Total Votes by County" dataDxfId="1429" totalsRowDxfId="1428"/>
    <tableColumn id="4" xr3:uid="{C51E2FF1-0705-4693-A182-5FA467FCC373}" name="Part of Kings County Vote Results" totalsRowFunction="custom" dataDxfId="1427" totalsRowDxfId="1426">
      <totalsRowFormula>SUBTOTAL(109,MemberOfAssemblyAssemblyDistrict44General[Total Votes by Candidate])</totalsRowFormula>
    </tableColumn>
    <tableColumn id="3" xr3:uid="{002F6BEB-877D-4DE2-AC9B-F78101A65DF4}" name="Total Votes by Party" dataDxfId="1425">
      <calculatedColumnFormula>MemberOfAssemblyAssemblyDistrict44General[[#This Row],[Part of Kings County Vote Results]]</calculatedColumnFormula>
    </tableColumn>
    <tableColumn id="2" xr3:uid="{ED55DB0C-3FA5-469C-958F-813AC26EF10C}" name="Total Votes by Candidate" dataDxfId="1424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2" xr:uid="{A71202D4-49A5-41F4-965D-212832650E73}" name="MemberOfAssemblyAssemblyDistrict45General" displayName="MemberOfAssemblyAssemblyDistrict45General" ref="A2:D10" totalsRowCount="1" headerRowDxfId="1423" dataDxfId="1421" headerRowBorderDxfId="1422" tableBorderDxfId="1420" totalsRowBorderDxfId="1419">
  <autoFilter ref="A2:D9" xr:uid="{9E2524FB-8412-449B-91CD-51AF3E3C3668}">
    <filterColumn colId="0" hiddenButton="1"/>
    <filterColumn colId="1" hiddenButton="1"/>
    <filterColumn colId="2" hiddenButton="1"/>
    <filterColumn colId="3" hiddenButton="1"/>
  </autoFilter>
  <tableColumns count="4">
    <tableColumn id="1" xr3:uid="{C7AE0F66-1B86-4F4F-AC4C-5342B08A6012}" name="Candidate Name (Party)" totalsRowLabel="Total Votes by County" dataDxfId="1418" totalsRowDxfId="1417"/>
    <tableColumn id="4" xr3:uid="{E87F5CA0-5AEF-4492-BDBA-A05C0B750EEC}" name="Part of Kings County Vote Results" totalsRowFunction="custom" dataDxfId="1416" totalsRowDxfId="1415">
      <totalsRowFormula>SUBTOTAL(109,MemberOfAssemblyAssemblyDistrict45General[Total Votes by Candidate])</totalsRowFormula>
    </tableColumn>
    <tableColumn id="3" xr3:uid="{8283497B-7D73-4A92-A48F-F9933D1D5F8D}" name="Total Votes by Party" totalsRowFunction="custom" dataDxfId="1414" totalsRowDxfId="1413">
      <calculatedColumnFormula>MemberOfAssemblyAssemblyDistrict45General[[#This Row],[Part of Kings County Vote Results]]</calculatedColumnFormula>
      <totalsRowFormula>MemberOfAssemblyAssemblyDistrict44General[[#This Row],[Part of Kings County Vote Results]]</totalsRowFormula>
    </tableColumn>
    <tableColumn id="2" xr3:uid="{6BDBA3AD-F288-42BB-84E0-778AAAD26D56}" name="Total Votes by Candidate" dataDxfId="1412" totalsRowDxfId="1411"/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3" xr:uid="{8607E956-13CD-4394-BEA6-0CFADB6173B1}" name="MemberOfAssemblyAssemblyDistrict46General" displayName="MemberOfAssemblyAssemblyDistrict46General" ref="A2:D14" totalsRowCount="1" headerRowDxfId="1410" dataDxfId="1408" headerRowBorderDxfId="1409" tableBorderDxfId="1407" totalsRowBorderDxfId="1406">
  <autoFilter ref="A2:D13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0D3FE7A3-A258-4A59-98A0-4759FD923447}" name="Candidate Name (Party)" totalsRowLabel="Total Votes by County" dataDxfId="1405" totalsRowDxfId="1404"/>
    <tableColumn id="4" xr3:uid="{21A8EDC4-25F3-4EA0-83BB-4303376689E0}" name="Part of Kings County Vote Results" totalsRowFunction="custom" dataDxfId="1403" totalsRowDxfId="1402">
      <totalsRowFormula>SUBTOTAL(109,MemberOfAssemblyAssemblyDistrict46General[Total Votes by Candidate])</totalsRowFormula>
    </tableColumn>
    <tableColumn id="3" xr3:uid="{AD004FAC-1531-482A-B3CB-64978C417BC6}" name="Total Votes by Party" dataDxfId="1401">
      <calculatedColumnFormula>MemberOfAssemblyAssemblyDistrict46General[[#This Row],[Part of Kings County Vote Results]]</calculatedColumnFormula>
    </tableColumn>
    <tableColumn id="2" xr3:uid="{9C58D36A-3C0B-49EB-A46A-0871DC1673FA}" name="Total Votes by Candidate" dataDxfId="1400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4" xr:uid="{D179B9BE-EFDA-486D-889B-50EE16356479}" name="MemberOfAssemblyAssemblyDistrict47General" displayName="MemberOfAssemblyAssemblyDistrict47General" ref="A2:D10" totalsRowCount="1" headerRowDxfId="1399" dataDxfId="1397" headerRowBorderDxfId="1398" tableBorderDxfId="1396" totalsRowBorderDxfId="1395">
  <autoFilter ref="A2:D9" xr:uid="{0FB500D4-5CF3-4FDD-8B03-C8032820ABE3}">
    <filterColumn colId="0" hiddenButton="1"/>
    <filterColumn colId="1" hiddenButton="1"/>
    <filterColumn colId="2" hiddenButton="1"/>
    <filterColumn colId="3" hiddenButton="1"/>
  </autoFilter>
  <tableColumns count="4">
    <tableColumn id="1" xr3:uid="{5AD953CF-20BF-4393-8731-093B5A36596C}" name="Candidate Name (Party)" totalsRowLabel="Total Votes by County" dataDxfId="1394" totalsRowDxfId="1393"/>
    <tableColumn id="4" xr3:uid="{6649D7BB-1018-4E72-97FE-4B522DD1C713}" name="Part of Kings County Vote Results" totalsRowFunction="custom" dataDxfId="1392" totalsRowDxfId="1391">
      <totalsRowFormula>SUBTOTAL(109,MemberOfAssemblyAssemblyDistrict47General[Total Votes by Candidate])</totalsRowFormula>
    </tableColumn>
    <tableColumn id="3" xr3:uid="{6695FF29-79A9-4AE5-BC5F-842DC97517BC}" name="Total Votes by Party" totalsRowFunction="custom" dataDxfId="1390" totalsRowDxfId="1389">
      <calculatedColumnFormula>MemberOfAssemblyAssemblyDistrict47General[[#This Row],[Part of Kings County Vote Results]]</calculatedColumnFormula>
      <totalsRowFormula>MemberOfAssemblyAssemblyDistrict46General[[#This Row],[Part of Kings County Vote Results]]</totalsRowFormula>
    </tableColumn>
    <tableColumn id="2" xr3:uid="{27D1B75A-64D0-427E-AB79-7B821F0B1146}" name="Total Votes by Candidate" dataDxfId="1388" totalsRowDxfId="1387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5" xr:uid="{2474E2C5-3DE7-4B6D-B6A6-7356444A7393}" name="MemberOfAssemblyAssemblyDistrict48General" displayName="MemberOfAssemblyAssemblyDistrict48General" ref="A2:D8" totalsRowCount="1" headerRowDxfId="1386" dataDxfId="1384" headerRowBorderDxfId="1385" tableBorderDxfId="1383" totalsRowBorderDxfId="1382">
  <autoFilter ref="A2:D7" xr:uid="{53D9526B-6E5F-4B46-9406-5E6519827817}">
    <filterColumn colId="0" hiddenButton="1"/>
    <filterColumn colId="1" hiddenButton="1"/>
    <filterColumn colId="2" hiddenButton="1"/>
    <filterColumn colId="3" hiddenButton="1"/>
  </autoFilter>
  <tableColumns count="4">
    <tableColumn id="1" xr3:uid="{B991030B-496C-47CA-86F7-AA776E6FD2F1}" name="Candidate Name (Party)" totalsRowLabel="Total Votes by County" dataDxfId="1381" totalsRowDxfId="1380"/>
    <tableColumn id="4" xr3:uid="{9AC4FEE2-3E8F-4D76-A9B3-8DCC2C9D497A}" name="Part of Kings County Vote Results" totalsRowFunction="custom" dataDxfId="1379" totalsRowDxfId="1378">
      <totalsRowFormula>SUBTOTAL(109,MemberOfAssemblyAssemblyDistrict48General[Total Votes by Candidate])</totalsRowFormula>
    </tableColumn>
    <tableColumn id="3" xr3:uid="{D6D7F3D7-F792-411C-A819-4AC128ADE44B}" name="Total Votes by Party" totalsRowFunction="custom" dataDxfId="1377" totalsRowDxfId="1376">
      <calculatedColumnFormula>MemberOfAssemblyAssemblyDistrict48General[[#This Row],[Part of Kings County Vote Results]]</calculatedColumnFormula>
      <totalsRowFormula>MemberOfAssemblyAssemblyDistrict47General[[#This Row],[Part of Kings County Vote Results]]</totalsRowFormula>
    </tableColumn>
    <tableColumn id="2" xr3:uid="{12F897FE-B67A-48A2-BC8A-87988BB1EE3B}" name="Total Votes by Candidate" dataDxfId="1375" totalsRowDxfId="1374"/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7" xr:uid="{8DE4DA35-B42C-464A-816D-1C93402C81CD}" name="MemberOfAssemblyAssemblyDistrict49General" displayName="MemberOfAssemblyAssemblyDistrict49General" ref="A2:D10" totalsRowCount="1" headerRowDxfId="1373" dataDxfId="1371" headerRowBorderDxfId="1372" tableBorderDxfId="1370" totalsRowBorderDxfId="1369">
  <autoFilter ref="A2:D9" xr:uid="{C8C88C05-06A4-4214-ADD0-4029FF45B686}">
    <filterColumn colId="0" hiddenButton="1"/>
    <filterColumn colId="1" hiddenButton="1"/>
    <filterColumn colId="2" hiddenButton="1"/>
    <filterColumn colId="3" hiddenButton="1"/>
  </autoFilter>
  <tableColumns count="4">
    <tableColumn id="1" xr3:uid="{FDA3EBE4-4DD6-46DC-AAC0-FFFEF66D63FB}" name="Candidate Name (Party)" totalsRowLabel="Total Votes by County" dataDxfId="1368" totalsRowDxfId="1367"/>
    <tableColumn id="4" xr3:uid="{336E906B-3348-4541-A814-857AF6028DFB}" name="Part of Kings County Vote Results" totalsRowFunction="custom" dataDxfId="1366" totalsRowDxfId="1365">
      <totalsRowFormula>SUBTOTAL(109,MemberOfAssemblyAssemblyDistrict49General[Total Votes by Candidate])</totalsRowFormula>
    </tableColumn>
    <tableColumn id="3" xr3:uid="{8713D921-FF8B-4531-B4CB-EA291505D512}" name="Total Votes by Party" dataDxfId="1364">
      <calculatedColumnFormula>MemberOfAssemblyAssemblyDistrict49General[[#This Row],[Part of Kings County Vote Results]]</calculatedColumnFormula>
    </tableColumn>
    <tableColumn id="2" xr3:uid="{F0AC78E0-DF49-4E47-B6CD-CEF17CFDBDA7}" name="Total Votes by Candidate" dataDxfId="1363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1" xr:uid="{FDBBF992-F557-466B-BC67-41E70BA78584}" name="MemberOfAssemblyAssemblyDistrict5General" displayName="MemberOfAssemblyAssemblyDistrict5General" ref="A2:D11" totalsRowCount="1" headerRowDxfId="1909" dataDxfId="1907" headerRowBorderDxfId="1908" tableBorderDxfId="1906" totalsRowBorderDxfId="1905">
  <autoFilter ref="A2:D10" xr:uid="{191796F6-EF24-43FD-BFBB-FAD42DF22204}">
    <filterColumn colId="0" hiddenButton="1"/>
    <filterColumn colId="1" hiddenButton="1"/>
    <filterColumn colId="2" hiddenButton="1"/>
    <filterColumn colId="3" hiddenButton="1"/>
  </autoFilter>
  <tableColumns count="4">
    <tableColumn id="1" xr3:uid="{82EBAAB0-8A91-4D69-84D9-A1850A08E529}" name="Candidate Name (Party)" totalsRowLabel="Total Votes by County" dataDxfId="1904" totalsRowDxfId="1903"/>
    <tableColumn id="4" xr3:uid="{AAD47DBD-15C4-4E0D-9993-039E7997C30F}" name="Part of Suffolk County Vote Results" totalsRowFunction="custom" dataDxfId="1902" totalsRowDxfId="1901">
      <totalsRowFormula>SUBTOTAL(109,MemberOfAssemblyAssemblyDistrict5General[Total Votes by Candidate])</totalsRowFormula>
    </tableColumn>
    <tableColumn id="3" xr3:uid="{BEA1C430-D393-4622-AA08-4A5577EE536B}" name="Total Votes by Party" totalsRowFunction="custom" dataDxfId="1900" totalsRowDxfId="1899">
      <calculatedColumnFormula>MemberOfAssemblyAssemblyDistrict5General[[#This Row],[Part of Suffolk County Vote Results]]</calculatedColumnFormula>
      <totalsRowFormula>MemberOfAssemblyAssemblyDistrict4General[[#This Row],[Part of Suffolk County Vote Results]]</totalsRowFormula>
    </tableColumn>
    <tableColumn id="2" xr3:uid="{2E937B37-42D1-4E2C-9A51-4C589A511B90}" name="Total Votes by Candidate" dataDxfId="1898" totalsRowDxfId="1897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8" xr:uid="{B3676C4C-20FB-40C6-A30A-B0B1FDB9B5B8}" name="MemberOfAssemblyAssemblyDistrict50General" displayName="MemberOfAssemblyAssemblyDistrict50General" ref="A2:D7" totalsRowCount="1" headerRowDxfId="1362" dataDxfId="1360" headerRowBorderDxfId="1361" tableBorderDxfId="1359" totalsRowBorderDxfId="1358">
  <autoFilter ref="A2:D6" xr:uid="{EB6FA8A7-AE60-48F2-AE64-A3CE1B8F5364}">
    <filterColumn colId="0" hiddenButton="1"/>
    <filterColumn colId="1" hiddenButton="1"/>
    <filterColumn colId="2" hiddenButton="1"/>
    <filterColumn colId="3" hiddenButton="1"/>
  </autoFilter>
  <tableColumns count="4">
    <tableColumn id="1" xr3:uid="{81D11D0D-E87F-48A4-9D6F-CC61AADD8D8B}" name="Candidate Name (Party)" totalsRowLabel="Total Votes by County" dataDxfId="1357" totalsRowDxfId="1356"/>
    <tableColumn id="4" xr3:uid="{61831228-91E5-4907-9649-1389FF43BFC6}" name="Part of Kings County Vote Results" totalsRowFunction="custom" dataDxfId="1355" totalsRowDxfId="1354">
      <totalsRowFormula>SUBTOTAL(109,MemberOfAssemblyAssemblyDistrict50General[Total Votes by Candidate])</totalsRowFormula>
    </tableColumn>
    <tableColumn id="3" xr3:uid="{C5AC150E-771C-46DA-B291-9F63746D4825}" name="Total Votes by Party" totalsRowFunction="custom" dataDxfId="1353" totalsRowDxfId="1352">
      <calculatedColumnFormula>MemberOfAssemblyAssemblyDistrict50General[[#This Row],[Part of Kings County Vote Results]]</calculatedColumnFormula>
      <totalsRowFormula>MemberOfAssemblyAssemblyDistrict49General[[#This Row],[Part of Kings County Vote Results]]</totalsRowFormula>
    </tableColumn>
    <tableColumn id="2" xr3:uid="{063EB327-5A6E-43C9-93DD-1B8F29FBBB0F}" name="Total Votes by Candidate" dataDxfId="1351" totalsRowDxfId="1350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9" xr:uid="{B69A04B4-178C-4003-8F79-9A57A3AB02EA}" name="MemberOfAssemblyAssemblyDistrict51General" displayName="MemberOfAssemblyAssemblyDistrict51General" ref="A2:D7" totalsRowCount="1" headerRowDxfId="1349" dataDxfId="1347" headerRowBorderDxfId="1348" tableBorderDxfId="1346" totalsRowBorderDxfId="1345">
  <autoFilter ref="A2:D6" xr:uid="{BC690E10-EB3A-4CC2-91D0-994F8CCA005D}">
    <filterColumn colId="0" hiddenButton="1"/>
    <filterColumn colId="1" hiddenButton="1"/>
    <filterColumn colId="2" hiddenButton="1"/>
    <filterColumn colId="3" hiddenButton="1"/>
  </autoFilter>
  <tableColumns count="4">
    <tableColumn id="1" xr3:uid="{2868A6F5-5B77-41B7-BCB3-7B8913D88B44}" name="Candidate Name (Party)" totalsRowLabel="Total Votes by County" dataDxfId="1344" totalsRowDxfId="1343"/>
    <tableColumn id="4" xr3:uid="{C5E0E991-CCAB-42CB-A524-FC03DE8D9F35}" name="Part of Kings County Vote Results" totalsRowFunction="custom" dataDxfId="1342" totalsRowDxfId="1341">
      <totalsRowFormula>SUBTOTAL(109,MemberOfAssemblyAssemblyDistrict51General[Total Votes by Candidate])</totalsRowFormula>
    </tableColumn>
    <tableColumn id="3" xr3:uid="{543EC8DD-F152-4492-B9EE-EA8F893A7675}" name="Total Votes by Party" totalsRowFunction="custom" dataDxfId="1340" totalsRowDxfId="1339">
      <calculatedColumnFormula>MemberOfAssemblyAssemblyDistrict51General[[#This Row],[Part of Kings County Vote Results]]</calculatedColumnFormula>
      <totalsRowFormula>MemberOfAssemblyAssemblyDistrict49General[[#This Row],[Part of Kings County Vote Results]]</totalsRowFormula>
    </tableColumn>
    <tableColumn id="2" xr3:uid="{34E7B60F-A091-4A16-8243-E336FE830F39}" name="Total Votes by Candidate" dataDxfId="1338" totalsRowDxfId="1337"/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0" xr:uid="{D6BC9E95-F681-447E-BDB5-B43AA3D0DD1A}" name="MemberOfAssemblyAssemblyDistrict52General" displayName="MemberOfAssemblyAssemblyDistrict52General" ref="A2:D10" totalsRowCount="1" headerRowDxfId="1336" dataDxfId="1334" headerRowBorderDxfId="1335" tableBorderDxfId="1333" totalsRowBorderDxfId="1332">
  <autoFilter ref="A2:D9" xr:uid="{43466E36-55A7-49C8-A7BF-50584D28DAF0}">
    <filterColumn colId="0" hiddenButton="1"/>
    <filterColumn colId="1" hiddenButton="1"/>
    <filterColumn colId="2" hiddenButton="1"/>
    <filterColumn colId="3" hiddenButton="1"/>
  </autoFilter>
  <tableColumns count="4">
    <tableColumn id="1" xr3:uid="{B57F2A61-73D1-4546-9536-50C442C569AB}" name="Candidate Name (Party)" totalsRowLabel="Total Votes by County" dataDxfId="1331" totalsRowDxfId="1330"/>
    <tableColumn id="4" xr3:uid="{844058B7-AC32-4A6D-99D7-A82DC0A5B092}" name="Part of Kings County Vote Results" totalsRowFunction="custom" dataDxfId="1329" totalsRowDxfId="1328">
      <totalsRowFormula>SUBTOTAL(109,MemberOfAssemblyAssemblyDistrict52General[Total Votes by Candidate])</totalsRowFormula>
    </tableColumn>
    <tableColumn id="3" xr3:uid="{7FAEEA22-1572-4711-B156-B0373C0A8A0E}" name="Total Votes by Party" dataDxfId="1327">
      <calculatedColumnFormula>MemberOfAssemblyAssemblyDistrict52General[[#This Row],[Part of Kings County Vote Results]]</calculatedColumnFormula>
    </tableColumn>
    <tableColumn id="2" xr3:uid="{92C907A0-CED6-4A3F-8252-77212AE97CDA}" name="Total Votes by Candidate" dataDxfId="1326"/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1" xr:uid="{DF1E5B2D-FD28-408A-8190-4B35208082CD}" name="MemberOfAssemblyAssemblyDistrict53General" displayName="MemberOfAssemblyAssemblyDistrict53General" ref="A2:D8" totalsRowCount="1" headerRowDxfId="1325" dataDxfId="1323" headerRowBorderDxfId="1324" tableBorderDxfId="1322" totalsRowBorderDxfId="1321">
  <autoFilter ref="A2:D7" xr:uid="{8D067293-3DBB-4DA1-A7C5-D1CEAD629054}">
    <filterColumn colId="0" hiddenButton="1"/>
    <filterColumn colId="1" hiddenButton="1"/>
    <filterColumn colId="2" hiddenButton="1"/>
    <filterColumn colId="3" hiddenButton="1"/>
  </autoFilter>
  <tableColumns count="4">
    <tableColumn id="1" xr3:uid="{145FA9A9-CD0F-4F9D-808E-FB88619EDA75}" name="Candidate Name (Party)" totalsRowLabel="Total Votes by County" dataDxfId="1320" totalsRowDxfId="1319"/>
    <tableColumn id="4" xr3:uid="{B1DB57A5-1EB9-482F-9228-3CE2D4774640}" name="Part of Kings County Vote Results" totalsRowFunction="custom" dataDxfId="1318" totalsRowDxfId="1317">
      <totalsRowFormula>SUBTOTAL(109,MemberOfAssemblyAssemblyDistrict53General[Total Votes by Candidate])</totalsRowFormula>
    </tableColumn>
    <tableColumn id="3" xr3:uid="{B7CC2EC8-A052-49E6-B2D8-F87390A4C585}" name="Total Votes by Party" totalsRowFunction="custom" dataDxfId="1316" totalsRowDxfId="1315">
      <calculatedColumnFormula>MemberOfAssemblyAssemblyDistrict53General[[#This Row],[Part of Kings County Vote Results]]</calculatedColumnFormula>
      <totalsRowFormula>MemberOfAssemblyAssemblyDistrict52General[[#This Row],[Part of Kings County Vote Results]]</totalsRowFormula>
    </tableColumn>
    <tableColumn id="2" xr3:uid="{85EDEFE5-A1E1-4BA6-91DE-F5F329D3BBC2}" name="Total Votes by Candidate" dataDxfId="1314" totalsRowDxfId="1313"/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2" xr:uid="{F9E861E5-1F2A-4781-95A7-509577709FCA}" name="MemberOfAssemblyAssemblyDistrict54General" displayName="MemberOfAssemblyAssemblyDistrict54General" ref="A2:D9" totalsRowCount="1" headerRowDxfId="1312" dataDxfId="1310" headerRowBorderDxfId="1311" tableBorderDxfId="1309" totalsRowBorderDxfId="1308">
  <autoFilter ref="A2:D8" xr:uid="{1CF8D885-C45F-4D89-A766-3A66B39900A8}">
    <filterColumn colId="0" hiddenButton="1"/>
    <filterColumn colId="1" hiddenButton="1"/>
    <filterColumn colId="2" hiddenButton="1"/>
    <filterColumn colId="3" hiddenButton="1"/>
  </autoFilter>
  <tableColumns count="4">
    <tableColumn id="1" xr3:uid="{5B1DBE75-0C0C-4A16-AEF1-5A6C28192E8F}" name="Candidate Name (Party)" totalsRowLabel="Total Votes by County" dataDxfId="1307" totalsRowDxfId="1306"/>
    <tableColumn id="4" xr3:uid="{2CDB8431-1374-445A-BC34-1B3411A67127}" name="Part of Kings County Vote Results" totalsRowFunction="custom" dataDxfId="1305" totalsRowDxfId="1304">
      <totalsRowFormula>SUBTOTAL(109,MemberOfAssemblyAssemblyDistrict54General[Total Votes by Candidate])</totalsRowFormula>
    </tableColumn>
    <tableColumn id="3" xr3:uid="{D38ABC37-BE3B-4BE4-8D55-81CA393A53AF}" name="Total Votes by Party" dataDxfId="1303">
      <calculatedColumnFormula>MemberOfAssemblyAssemblyDistrict54General[[#This Row],[Part of Kings County Vote Results]]</calculatedColumnFormula>
    </tableColumn>
    <tableColumn id="2" xr3:uid="{C0689A2C-88EE-4136-B4AA-0C6EE30C8FC4}" name="Total Votes by Candidate" dataDxfId="1302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3" xr:uid="{A3F266B2-52E7-440C-9859-09B78F43F9E8}" name="MemberOfAssemblyAssemblyDistrict55General" displayName="MemberOfAssemblyAssemblyDistrict55General" ref="A2:D9" totalsRowCount="1" headerRowDxfId="1301" dataDxfId="1299" headerRowBorderDxfId="1300" tableBorderDxfId="1298" totalsRowBorderDxfId="1297">
  <autoFilter ref="A2:D8" xr:uid="{F456B5FE-B223-4E84-BC39-EED62A2AF260}">
    <filterColumn colId="0" hiddenButton="1"/>
    <filterColumn colId="1" hiddenButton="1"/>
    <filterColumn colId="2" hiddenButton="1"/>
    <filterColumn colId="3" hiddenButton="1"/>
  </autoFilter>
  <tableColumns count="4">
    <tableColumn id="1" xr3:uid="{F6C238C7-2610-4A8C-80F6-66C4F0BFED5E}" name="Candidate Name (Party)" totalsRowLabel="Total Votes by County" dataDxfId="1296" totalsRowDxfId="1295"/>
    <tableColumn id="4" xr3:uid="{FD8D476E-C616-4F14-A3F7-2B4BFF99CD8B}" name="Part of Kings County Vote Results" totalsRowFunction="custom" dataDxfId="1294" totalsRowDxfId="1293">
      <totalsRowFormula>SUBTOTAL(109,MemberOfAssemblyAssemblyDistrict55General[Total Votes by Candidate])</totalsRowFormula>
    </tableColumn>
    <tableColumn id="3" xr3:uid="{C13D525F-CBCE-4010-AC0D-29F07368DA91}" name="Total Votes by Party" dataDxfId="1292">
      <calculatedColumnFormula>MemberOfAssemblyAssemblyDistrict55General[[#This Row],[Part of Kings County Vote Results]]</calculatedColumnFormula>
    </tableColumn>
    <tableColumn id="2" xr3:uid="{4AA979D3-B463-458C-8D07-B67CC2243D9B}" name="Total Votes by Candidate" dataDxfId="1291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4" xr:uid="{FF2829E4-5C3D-4CDC-8C80-830E9E8C651D}" name="MemberOfAssemblyAssemblyDistrict56General" displayName="MemberOfAssemblyAssemblyDistrict56General" ref="A2:D8" totalsRowCount="1" headerRowDxfId="1290" dataDxfId="1288" headerRowBorderDxfId="1289" tableBorderDxfId="1287" totalsRowBorderDxfId="1286">
  <autoFilter ref="A2:D7" xr:uid="{B43538B1-6F61-46C2-AEC0-8740BACEBF7F}">
    <filterColumn colId="0" hiddenButton="1"/>
    <filterColumn colId="1" hiddenButton="1"/>
    <filterColumn colId="2" hiddenButton="1"/>
    <filterColumn colId="3" hiddenButton="1"/>
  </autoFilter>
  <tableColumns count="4">
    <tableColumn id="1" xr3:uid="{FEB77753-26E5-4366-B3F8-8E7F05367A56}" name="Candidate Name (Party)" totalsRowLabel="Total Votes by County" dataDxfId="1285" totalsRowDxfId="1284"/>
    <tableColumn id="4" xr3:uid="{9DAA5F20-10B7-4BF6-B8C1-97CBF554D541}" name="Part of Kings County Vote Results" totalsRowFunction="custom" dataDxfId="1283" totalsRowDxfId="1282">
      <totalsRowFormula>SUBTOTAL(109,MemberOfAssemblyAssemblyDistrict56General[Total Votes by Candidate])</totalsRowFormula>
    </tableColumn>
    <tableColumn id="3" xr3:uid="{1527A0F4-9BE5-4242-85AC-2E9636DFF8FF}" name="Total Votes by Party" totalsRowFunction="custom" dataDxfId="1281" totalsRowDxfId="1280">
      <calculatedColumnFormula>MemberOfAssemblyAssemblyDistrict56General[[#This Row],[Part of Kings County Vote Results]]</calculatedColumnFormula>
      <totalsRowFormula>MemberOfAssemblyAssemblyDistrict55General[[#This Row],[Part of Kings County Vote Results]]</totalsRowFormula>
    </tableColumn>
    <tableColumn id="2" xr3:uid="{F44A2F83-7DC2-40E9-82E1-821366493449}" name="Total Votes by Candidate" dataDxfId="1279" totalsRowDxfId="1278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5" xr:uid="{F54CD81B-A324-43F3-9367-271CED81045F}" name="MemberOfAssemblyAssemblyDistrict57General" displayName="MemberOfAssemblyAssemblyDistrict57General" ref="A2:D8" totalsRowCount="1" headerRowDxfId="1277" dataDxfId="1275" headerRowBorderDxfId="1276" tableBorderDxfId="1274" totalsRowBorderDxfId="1273">
  <autoFilter ref="A2:D7" xr:uid="{06885FD3-6BA0-4A8B-A771-AA4B6AD34E9B}">
    <filterColumn colId="0" hiddenButton="1"/>
    <filterColumn colId="1" hiddenButton="1"/>
    <filterColumn colId="2" hiddenButton="1"/>
    <filterColumn colId="3" hiddenButton="1"/>
  </autoFilter>
  <tableColumns count="4">
    <tableColumn id="1" xr3:uid="{53BEB0D8-1A4C-48AB-B8C6-8CCD6639B188}" name="Candidate Name (Party)" totalsRowLabel="Total Votes by County" dataDxfId="1272" totalsRowDxfId="1271"/>
    <tableColumn id="4" xr3:uid="{D7439D0E-40A3-4A25-9218-C1DA48C5CC0F}" name="Part of Kings County Vote Results" totalsRowFunction="custom" dataDxfId="1270" totalsRowDxfId="1269">
      <totalsRowFormula>SUBTOTAL(109,MemberOfAssemblyAssemblyDistrict57General[Total Votes by Candidate])</totalsRowFormula>
    </tableColumn>
    <tableColumn id="3" xr3:uid="{8DEE12A4-A0C7-41A5-BC6D-418B325A45D2}" name="Total Votes by Party" totalsRowFunction="custom" dataDxfId="1268" totalsRowDxfId="1267">
      <calculatedColumnFormula>MemberOfAssemblyAssemblyDistrict57General[[#This Row],[Part of Kings County Vote Results]]</calculatedColumnFormula>
      <totalsRowFormula>MemberOfAssemblyAssemblyDistrict55General[[#This Row],[Part of Kings County Vote Results]]</totalsRowFormula>
    </tableColumn>
    <tableColumn id="2" xr3:uid="{CE4236D9-D91A-476C-AB33-8AF41C181EC7}" name="Total Votes by Candidate" dataDxfId="1266" totalsRowDxfId="1265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6" xr:uid="{99E54ADB-EC86-4154-B5BD-D6595CC900B5}" name="MemberOfAssemblyAssemblyDistrict58General" displayName="MemberOfAssemblyAssemblyDistrict58General" ref="A2:D8" totalsRowCount="1" headerRowDxfId="1264" dataDxfId="1262" headerRowBorderDxfId="1263" tableBorderDxfId="1261" totalsRowBorderDxfId="1260">
  <autoFilter ref="A2:D7" xr:uid="{62F76209-C641-4D99-AF0C-3E463FCF6991}">
    <filterColumn colId="0" hiddenButton="1"/>
    <filterColumn colId="1" hiddenButton="1"/>
    <filterColumn colId="2" hiddenButton="1"/>
    <filterColumn colId="3" hiddenButton="1"/>
  </autoFilter>
  <tableColumns count="4">
    <tableColumn id="1" xr3:uid="{75DA4CFB-5FF6-4C52-B4E5-C9272C78206B}" name="Candidate Name (Party)" totalsRowLabel="Total Votes by County" dataDxfId="1259" totalsRowDxfId="1258"/>
    <tableColumn id="4" xr3:uid="{4D272330-99CC-4363-8F30-1957875DEDF4}" name="Part of Kings County Vote Results" totalsRowFunction="custom" dataDxfId="1257" totalsRowDxfId="1256">
      <totalsRowFormula>SUBTOTAL(109,MemberOfAssemblyAssemblyDistrict58General[Total Votes by Candidate])</totalsRowFormula>
    </tableColumn>
    <tableColumn id="3" xr3:uid="{CA723194-848D-4E17-B2E9-328E8A9B8094}" name="Total Votes by Party" totalsRowFunction="custom" dataDxfId="1255" totalsRowDxfId="1254">
      <calculatedColumnFormula>MemberOfAssemblyAssemblyDistrict58General[[#This Row],[Part of Kings County Vote Results]]</calculatedColumnFormula>
      <totalsRowFormula>MemberOfAssemblyAssemblyDistrict55General[[#This Row],[Part of Kings County Vote Results]]</totalsRowFormula>
    </tableColumn>
    <tableColumn id="2" xr3:uid="{722FBB87-2A04-4697-9612-EE273302DAF7}" name="Total Votes by Candidate" dataDxfId="1253" totalsRowDxfId="1252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7" xr:uid="{3F81FE6E-793A-4FD5-A5B0-61E5F606A85F}" name="MemberOfAssemblyAssemblyDistrict59General" displayName="MemberOfAssemblyAssemblyDistrict59General" ref="A2:D10" totalsRowCount="1" headerRowDxfId="1251" dataDxfId="1249" headerRowBorderDxfId="1250" tableBorderDxfId="1248" totalsRowBorderDxfId="1247">
  <autoFilter ref="A2:D9" xr:uid="{B879D523-A7B9-4628-BDB2-94E50B233A7C}">
    <filterColumn colId="0" hiddenButton="1"/>
    <filterColumn colId="1" hiddenButton="1"/>
    <filterColumn colId="2" hiddenButton="1"/>
    <filterColumn colId="3" hiddenButton="1"/>
  </autoFilter>
  <tableColumns count="4">
    <tableColumn id="1" xr3:uid="{B3C4336B-1E3F-49CE-8839-F760FFB076CE}" name="Candidate Name (Party)" totalsRowLabel="Total Votes by County" dataDxfId="1246" totalsRowDxfId="1245"/>
    <tableColumn id="4" xr3:uid="{875BBA36-736C-4487-896E-F4949447D6E6}" name="Part of Kings County Vote Results" totalsRowFunction="custom" dataDxfId="1244" totalsRowDxfId="1243">
      <totalsRowFormula>SUBTOTAL(109,MemberOfAssemblyAssemblyDistrict59General[Total Votes by Candidate])</totalsRowFormula>
    </tableColumn>
    <tableColumn id="3" xr3:uid="{7EE84E00-814C-4D4F-9758-BF1DF15B1887}" name="Total Votes by Party" dataDxfId="1242">
      <calculatedColumnFormula>MemberOfAssemblyAssemblyDistrict59General[[#This Row],[Part of Kings County Vote Results]]</calculatedColumnFormula>
    </tableColumn>
    <tableColumn id="2" xr3:uid="{074BB155-6E6A-4663-AF4F-8736B3D4B253}" name="Total Votes by Candidate" dataDxfId="1241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2" xr:uid="{E04D408D-1A02-447C-894C-70CA4D0761F3}" name="MemberOfAssemblyAssemblyDistrict6General" displayName="MemberOfAssemblyAssemblyDistrict6General" ref="A2:D11" totalsRowCount="1" headerRowDxfId="1896" dataDxfId="1894" headerRowBorderDxfId="1895" tableBorderDxfId="1893" totalsRowBorderDxfId="1892">
  <autoFilter ref="A2:D10" xr:uid="{E7499BEB-4B2F-4A09-B862-9DDE62E733A6}">
    <filterColumn colId="0" hiddenButton="1"/>
    <filterColumn colId="1" hiddenButton="1"/>
    <filterColumn colId="2" hiddenButton="1"/>
    <filterColumn colId="3" hiddenButton="1"/>
  </autoFilter>
  <tableColumns count="4">
    <tableColumn id="1" xr3:uid="{408E63AA-0663-4755-85D3-DCED3670E111}" name="Candidate Name (Party)" totalsRowLabel="Total Votes by County" dataDxfId="1891" totalsRowDxfId="1890"/>
    <tableColumn id="4" xr3:uid="{66EB1E13-A431-47AB-AAC4-1C8E55AB9DC3}" name="Part of Suffolk County Vote Results" totalsRowFunction="custom" dataDxfId="1889" totalsRowDxfId="1888">
      <totalsRowFormula>SUBTOTAL(109,MemberOfAssemblyAssemblyDistrict6General[Total Votes by Candidate])</totalsRowFormula>
    </tableColumn>
    <tableColumn id="3" xr3:uid="{8674885B-737A-48BA-BBDB-194A0276F8CD}" name="Total Votes by Party" totalsRowFunction="custom" dataDxfId="1887" totalsRowDxfId="1886">
      <calculatedColumnFormula>MemberOfAssemblyAssemblyDistrict6General[[#This Row],[Part of Suffolk County Vote Results]]</calculatedColumnFormula>
      <totalsRowFormula>MemberOfAssemblyAssemblyDistrict4General[[#This Row],[Part of Suffolk County Vote Results]]</totalsRowFormula>
    </tableColumn>
    <tableColumn id="2" xr3:uid="{B166F123-79F6-43C5-AE1B-FE4536CD7E6B}" name="Total Votes by Candidate" dataDxfId="1885" totalsRowDxfId="1884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8" xr:uid="{4DD9A570-FE0A-4EF9-9F21-25CA0199DF2A}" name="MemberOfAssemblyAssemblyDistrict60General" displayName="MemberOfAssemblyAssemblyDistrict60General" ref="A2:D9" totalsRowCount="1" headerRowDxfId="1240" dataDxfId="1238" headerRowBorderDxfId="1239" tableBorderDxfId="1237" totalsRowBorderDxfId="1236">
  <autoFilter ref="A2:D8" xr:uid="{2271CA26-1FB7-4662-AE25-2C1CA44CB5E7}">
    <filterColumn colId="0" hiddenButton="1"/>
    <filterColumn colId="1" hiddenButton="1"/>
    <filterColumn colId="2" hiddenButton="1"/>
    <filterColumn colId="3" hiddenButton="1"/>
  </autoFilter>
  <tableColumns count="4">
    <tableColumn id="1" xr3:uid="{E26892AC-F8BB-427C-A85D-AB25A8EAA6D4}" name="Candidate Name (Party)" totalsRowLabel="Total Votes by County" dataDxfId="1235" totalsRowDxfId="1234"/>
    <tableColumn id="4" xr3:uid="{5674069F-6B26-4651-ABDF-57BCE08AA566}" name="Part of Kings County Vote Results" totalsRowFunction="custom" dataDxfId="1233" totalsRowDxfId="1232">
      <totalsRowFormula>SUBTOTAL(109,MemberOfAssemblyAssemblyDistrict60General[Total Votes by Candidate])</totalsRowFormula>
    </tableColumn>
    <tableColumn id="3" xr3:uid="{47E19BA9-BE41-4718-9FA6-3885EACE43FA}" name="Total Votes by Party" totalsRowFunction="custom" dataDxfId="1231" totalsRowDxfId="1230">
      <calculatedColumnFormula>MemberOfAssemblyAssemblyDistrict60General[[#This Row],[Part of Kings County Vote Results]]</calculatedColumnFormula>
      <totalsRowFormula>MemberOfAssemblyAssemblyDistrict59General[[#This Row],[Part of Kings County Vote Results]]</totalsRowFormula>
    </tableColumn>
    <tableColumn id="2" xr3:uid="{4693BF7D-48A3-4A59-AB5A-E3616337974A}" name="Total Votes by Candidate" dataDxfId="1229" totalsRowDxfId="1228"/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9" xr:uid="{E295DE8A-CA82-418B-978C-89D69FC4D5AC}" name="MemberOfAssemblyAssemblyDistrict61General" displayName="MemberOfAssemblyAssemblyDistrict61General" ref="A2:D10" totalsRowCount="1" headerRowDxfId="1227" dataDxfId="1225" headerRowBorderDxfId="1226" tableBorderDxfId="1224" totalsRowBorderDxfId="1223">
  <autoFilter ref="A2:D9" xr:uid="{E0863EA8-6184-4D0D-A38A-2078EB59A87C}">
    <filterColumn colId="0" hiddenButton="1"/>
    <filterColumn colId="1" hiddenButton="1"/>
    <filterColumn colId="2" hiddenButton="1"/>
    <filterColumn colId="3" hiddenButton="1"/>
  </autoFilter>
  <tableColumns count="4">
    <tableColumn id="1" xr3:uid="{929E62C7-C01A-43E0-9985-259C0E324A05}" name="Candidate Name (Party)" totalsRowLabel="Total Votes by County" dataDxfId="1222" totalsRowDxfId="1221"/>
    <tableColumn id="4" xr3:uid="{B8155AFA-6098-45F9-A397-B906E7E91EA6}" name="Part of Richmond County Vote Results" totalsRowFunction="custom" dataDxfId="1220" totalsRowDxfId="1219">
      <totalsRowFormula>SUBTOTAL(109,MemberOfAssemblyAssemblyDistrict61General[Total Votes by Candidate])</totalsRowFormula>
    </tableColumn>
    <tableColumn id="3" xr3:uid="{ABF5B2A5-303B-469D-853A-454F6C437F1F}" name="Total Votes by Party" dataDxfId="1218">
      <calculatedColumnFormula>MemberOfAssemblyAssemblyDistrict61General[[#This Row],[Part of Richmond County Vote Results]]</calculatedColumnFormula>
    </tableColumn>
    <tableColumn id="2" xr3:uid="{E0536B70-BF96-46B0-A926-BDF2200FD9F5}" name="Total Votes by Candidate" dataDxfId="1217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0" xr:uid="{EFA576DD-31D2-4C5E-9182-B9773A3CFCE8}" name="MemberOfAssemblyAssemblyDistrict62General" displayName="MemberOfAssemblyAssemblyDistrict62General" ref="A2:D9" totalsRowCount="1" headerRowDxfId="1216" dataDxfId="1214" headerRowBorderDxfId="1215" tableBorderDxfId="1213" totalsRowBorderDxfId="1212">
  <autoFilter ref="A2:D8" xr:uid="{2008F531-EE74-4162-AF6E-B18BD452C710}">
    <filterColumn colId="0" hiddenButton="1"/>
    <filterColumn colId="1" hiddenButton="1"/>
    <filterColumn colId="2" hiddenButton="1"/>
    <filterColumn colId="3" hiddenButton="1"/>
  </autoFilter>
  <tableColumns count="4">
    <tableColumn id="1" xr3:uid="{8E3FF248-BCE4-448B-8105-C07F65E329F1}" name="Candidate Name (Party)" totalsRowLabel="Total Votes by County" dataDxfId="1211" totalsRowDxfId="1210"/>
    <tableColumn id="4" xr3:uid="{3934527C-04E2-49D9-975A-0FD4553BA256}" name="Part of Richmond County Vote Results" totalsRowFunction="custom" dataDxfId="1209" totalsRowDxfId="1208">
      <totalsRowFormula>SUBTOTAL(109,MemberOfAssemblyAssemblyDistrict62General[Total Votes by Candidate])</totalsRowFormula>
    </tableColumn>
    <tableColumn id="3" xr3:uid="{639D6D70-673A-431B-89EA-1037D12BA931}" name="Total Votes by Party" totalsRowFunction="custom" dataDxfId="1207" totalsRowDxfId="1206">
      <calculatedColumnFormula>MemberOfAssemblyAssemblyDistrict62General[[#This Row],[Part of Richmond County Vote Results]]</calculatedColumnFormula>
      <totalsRowFormula>MemberOfAssemblyAssemblyDistrict61General[[#This Row],[Part of Richmond County Vote Results]]</totalsRowFormula>
    </tableColumn>
    <tableColumn id="2" xr3:uid="{5562C0F3-F5D5-46A7-AB7D-75C772BA5E88}" name="Total Votes by Candidate" dataDxfId="1205" totalsRowDxfId="1204"/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1" xr:uid="{DF036304-7275-462B-B52E-D64B0A59DED4}" name="MemberOfAssemblyAssemblyDistrict63General" displayName="MemberOfAssemblyAssemblyDistrict63General" ref="A2:D11" totalsRowCount="1" headerRowDxfId="1203" dataDxfId="1201" headerRowBorderDxfId="1202" tableBorderDxfId="1200" totalsRowBorderDxfId="1199">
  <autoFilter ref="A2:D10" xr:uid="{CD12E5BF-E9AF-4AB7-96CD-801D41AE948E}">
    <filterColumn colId="0" hiddenButton="1"/>
    <filterColumn colId="1" hiddenButton="1"/>
    <filterColumn colId="2" hiddenButton="1"/>
    <filterColumn colId="3" hiddenButton="1"/>
  </autoFilter>
  <tableColumns count="4">
    <tableColumn id="1" xr3:uid="{F9F8063C-D5A1-417D-8086-A56E0E52E61A}" name="Candidate Name (Party)" totalsRowLabel="Total Votes by County" dataDxfId="1198" totalsRowDxfId="1197"/>
    <tableColumn id="4" xr3:uid="{7BAFD56B-1DEB-45A8-BE2D-4F2BF9584B3B}" name="Part of Richmond County Vote Results" totalsRowFunction="custom" dataDxfId="1196" totalsRowDxfId="1195">
      <totalsRowFormula>SUBTOTAL(109,MemberOfAssemblyAssemblyDistrict63General[Total Votes by Candidate])</totalsRowFormula>
    </tableColumn>
    <tableColumn id="3" xr3:uid="{FCAFA0BE-7F28-4893-9261-BB0640C6A8C3}" name="Total Votes by Party" dataDxfId="1194">
      <calculatedColumnFormula>MemberOfAssemblyAssemblyDistrict63General[[#This Row],[Part of Richmond County Vote Results]]</calculatedColumnFormula>
    </tableColumn>
    <tableColumn id="2" xr3:uid="{5AEF5468-7D01-4E2D-8869-15A6EE26FE2B}" name="Total Votes by Candidate" dataDxfId="1193"/>
  </tableColumns>
  <tableStyleInfo name="TableStyleMedium2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2" xr:uid="{B9190101-8FBD-4D0A-BB0F-0EE2FB2EFE89}" name="MemberOfAssemblyAssemblyDistrict64General" displayName="MemberOfAssemblyAssemblyDistrict64General" ref="A2:E11" totalsRowCount="1" headerRowDxfId="1192" dataDxfId="1190" headerRowBorderDxfId="1191" tableBorderDxfId="1189" totalsRowBorderDxfId="1188">
  <autoFilter ref="A2:E10" xr:uid="{6E679F01-FEC9-4F10-BEC2-66FBB32BDB3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FC03B5C-A9FD-4FB2-AE9B-490B1B92C7E9}" name="Candidate Name (Party)" totalsRowLabel="Total Votes by County" dataDxfId="1187" totalsRowDxfId="1186"/>
    <tableColumn id="2" xr3:uid="{E744BA52-22CE-48F4-AB6E-FCAF4CCD33B9}" name="Part of Kings County Vote Results" totalsRowFunction="sum" dataDxfId="1185" totalsRowDxfId="1184"/>
    <tableColumn id="4" xr3:uid="{33A655DD-397E-4B35-A55D-72549191DCA1}" name="Part of Richmond County Vote Results" totalsRowFunction="sum" dataDxfId="1183" totalsRowDxfId="1182"/>
    <tableColumn id="3" xr3:uid="{EF61A3F9-A4D8-44E4-8331-1FC87E3B31A4}" name="Total Votes by Party" dataDxfId="1181">
      <calculatedColumnFormula>SUM(MemberOfAssemblyAssemblyDistrict64General[[#This Row],[Part of Kings County Vote Results]:[Part of Richmond County Vote Results]])</calculatedColumnFormula>
    </tableColumn>
    <tableColumn id="5" xr3:uid="{A216CED5-021E-41F1-AA25-7341704066A4}" name="Total Votes by Candidate" dataDxfId="1180"/>
  </tableColumns>
  <tableStyleInfo name="TableStyleMedium2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3" xr:uid="{52163118-3829-4615-9A9D-96D13F811ECC}" name="MemberOfAssemblyAssemblyDistrict65General" displayName="MemberOfAssemblyAssemblyDistrict65General" ref="A2:D8" totalsRowCount="1" headerRowDxfId="1179" dataDxfId="1177" headerRowBorderDxfId="1178" tableBorderDxfId="1176" totalsRowBorderDxfId="1175">
  <autoFilter ref="A2:D7" xr:uid="{7E494556-0D9D-4D28-95F5-DF8B28663B44}">
    <filterColumn colId="0" hiddenButton="1"/>
    <filterColumn colId="1" hiddenButton="1"/>
    <filterColumn colId="2" hiddenButton="1"/>
    <filterColumn colId="3" hiddenButton="1"/>
  </autoFilter>
  <tableColumns count="4">
    <tableColumn id="1" xr3:uid="{E35B8A1A-48AF-470F-983C-D40187782F7A}" name="Candidate Name (Party)" totalsRowLabel="Total Votes by County" dataDxfId="1174" totalsRowDxfId="1173"/>
    <tableColumn id="4" xr3:uid="{BFB90235-5222-4A02-962A-E333988CB069}" name="Part of New York County Vote Results" totalsRowFunction="custom" dataDxfId="1172" totalsRowDxfId="1171">
      <totalsRowFormula>SUBTOTAL(109,MemberOfAssemblyAssemblyDistrict65General[Total Votes by Candidate])</totalsRowFormula>
    </tableColumn>
    <tableColumn id="3" xr3:uid="{E358CC26-2AC1-4255-BDB2-D3C2CA739557}" name="Total Votes by Party" totalsRowFunction="custom" dataDxfId="1170" totalsRowDxfId="1169">
      <calculatedColumnFormula>MemberOfAssemblyAssemblyDistrict65General[[#This Row],[Part of New York County Vote Results]]</calculatedColumnFormula>
      <totalsRowFormula>SUM(MemberOfAssemblyAssemblyDistrict64General[[#This Row],[Part of Kings County Vote Results]:[Part of Richmond County Vote Results]])</totalsRowFormula>
    </tableColumn>
    <tableColumn id="2" xr3:uid="{5786E389-4592-4241-85CC-9BD6DB99DE6F}" name="Total Votes by Candidate" dataDxfId="1168" totalsRowDxfId="1167"/>
  </tableColumns>
  <tableStyleInfo name="TableStyleMedium2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4" xr:uid="{11D6AB22-E9E9-43D4-9D14-91AC1A731B2D}" name="MemberOfAssemblyAssemblyDistrict66General" displayName="MemberOfAssemblyAssemblyDistrict66General" ref="A2:D8" totalsRowCount="1" headerRowDxfId="1166" dataDxfId="1164" headerRowBorderDxfId="1165" tableBorderDxfId="1163" totalsRowBorderDxfId="1162">
  <autoFilter ref="A2:D7" xr:uid="{DB588E57-B3EA-45ED-B396-65AD89BE7DBB}">
    <filterColumn colId="0" hiddenButton="1"/>
    <filterColumn colId="1" hiddenButton="1"/>
    <filterColumn colId="2" hiddenButton="1"/>
    <filterColumn colId="3" hiddenButton="1"/>
  </autoFilter>
  <tableColumns count="4">
    <tableColumn id="1" xr3:uid="{95B4D9E5-25A9-4244-B1E5-40009E5D547A}" name="Candidate Name (Party)" totalsRowLabel="Total Votes by County" dataDxfId="1161" totalsRowDxfId="1160"/>
    <tableColumn id="4" xr3:uid="{C5DA104D-62F1-45F2-A6E4-D612277B58F2}" name="Part of New York County Vote Results" totalsRowFunction="custom" dataDxfId="1159" totalsRowDxfId="1158">
      <totalsRowFormula>SUBTOTAL(109,MemberOfAssemblyAssemblyDistrict66General[Total Votes by Candidate])</totalsRowFormula>
    </tableColumn>
    <tableColumn id="3" xr3:uid="{A8DE02FF-AB83-4AB8-8605-ABD6F4613311}" name="Total Votes by Party" totalsRowFunction="custom" dataDxfId="1157" totalsRowDxfId="1156">
      <calculatedColumnFormula>MemberOfAssemblyAssemblyDistrict66General[[#This Row],[Part of New York County Vote Results]]</calculatedColumnFormula>
      <totalsRowFormula>SUM(MemberOfAssemblyAssemblyDistrict64General[[#This Row],[Part of Kings County Vote Results]:[Part of Richmond County Vote Results]])</totalsRowFormula>
    </tableColumn>
    <tableColumn id="2" xr3:uid="{C1281449-FDE4-4881-BB9A-853B5BB5B70A}" name="Total Votes by Candidate" dataDxfId="1155" totalsRowDxfId="1154"/>
  </tableColumns>
  <tableStyleInfo name="TableStyleMedium2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5" xr:uid="{217F1ECA-F079-4398-AECC-026CB2FCE3D6}" name="MemberOfAssemblyAssemblyDistrict67General" displayName="MemberOfAssemblyAssemblyDistrict67General" ref="A2:D8" totalsRowCount="1" headerRowDxfId="1153" dataDxfId="1151" headerRowBorderDxfId="1152" tableBorderDxfId="1150" totalsRowBorderDxfId="1149">
  <autoFilter ref="A2:D7" xr:uid="{0E084527-67C2-40AC-B2D5-2A8904DBFF70}">
    <filterColumn colId="0" hiddenButton="1"/>
    <filterColumn colId="1" hiddenButton="1"/>
    <filterColumn colId="2" hiddenButton="1"/>
    <filterColumn colId="3" hiddenButton="1"/>
  </autoFilter>
  <tableColumns count="4">
    <tableColumn id="1" xr3:uid="{DB927104-EEA9-4DD4-9CAC-9C562C2671A4}" name="Candidate Name (Party)" totalsRowLabel="Total Votes by County" dataDxfId="1148" totalsRowDxfId="1147"/>
    <tableColumn id="5" xr3:uid="{3BE9FB2F-6E2B-49F7-A383-6614D34646AA}" name="Part of New York County Vote Results" totalsRowFunction="custom" dataDxfId="1146" totalsRowDxfId="1145">
      <totalsRowFormula>SUBTOTAL(109,MemberOfAssemblyAssemblyDistrict67General[Total Votes by Candidate])</totalsRowFormula>
    </tableColumn>
    <tableColumn id="3" xr3:uid="{3FF109BA-454B-4BAB-ADAC-44221F211B96}" name="Total Votes by Party" totalsRowFunction="custom" dataDxfId="1144" totalsRowDxfId="1143">
      <calculatedColumnFormula>MemberOfAssemblyAssemblyDistrict67General[[#This Row],[Part of New York County Vote Results]]</calculatedColumnFormula>
      <totalsRowFormula>SUM(MemberOfAssemblyAssemblyDistrict64General[[#This Row],[Part of Kings County Vote Results]:[Part of Richmond County Vote Results]])</totalsRowFormula>
    </tableColumn>
    <tableColumn id="2" xr3:uid="{537A10F8-E3F7-4ED8-A037-F178672A1653}" name="Total Votes by Candidate" dataDxfId="1142" totalsRowDxfId="1141"/>
  </tableColumns>
  <tableStyleInfo name="TableStyleMedium2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6" xr:uid="{C2018CAD-7C79-44C6-B8AE-8EFE689C5C8F}" name="MemberOfAssemblyAssemblyDistrict68General" displayName="MemberOfAssemblyAssemblyDistrict68General" ref="A2:D9" totalsRowCount="1" headerRowDxfId="1140" dataDxfId="1138" headerRowBorderDxfId="1139" tableBorderDxfId="1137" totalsRowBorderDxfId="1136">
  <autoFilter ref="A2:D8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1DEE1EF1-BE0B-47C7-A296-0539D498A803}" name="Candidate Name (Party)" totalsRowLabel="Total Votes by County" dataDxfId="1135" totalsRowDxfId="1134"/>
    <tableColumn id="4" xr3:uid="{23337A1F-FF3F-4F1E-A1FF-65224724A056}" name="Part of New York County Vote Results" totalsRowFunction="custom" dataDxfId="1133" totalsRowDxfId="1132">
      <totalsRowFormula>SUBTOTAL(109,MemberOfAssemblyAssemblyDistrict68General[Total Votes by Candidate])</totalsRowFormula>
    </tableColumn>
    <tableColumn id="3" xr3:uid="{B2C6A4BB-2DB4-4F98-946C-6FFB0FC43DF3}" name="Total Votes by Party" dataDxfId="1131">
      <calculatedColumnFormula>MemberOfAssemblyAssemblyDistrict68General[[#This Row],[Part of New York County Vote Results]]</calculatedColumnFormula>
    </tableColumn>
    <tableColumn id="2" xr3:uid="{FD46F076-9DED-4D23-88FA-313486BC9D3A}" name="Total Votes by Candidate" dataDxfId="1130"/>
  </tableColumns>
  <tableStyleInfo name="TableStyleMedium2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7" xr:uid="{3F6ABA3A-A9C8-466C-AB36-B24D5D79E0A3}" name="MemberOfAssemblyAssemblyDistrict69General" displayName="MemberOfAssemblyAssemblyDistrict69General" ref="A2:D8" totalsRowCount="1" headerRowDxfId="1129" dataDxfId="1127" headerRowBorderDxfId="1128" tableBorderDxfId="1126" totalsRowBorderDxfId="1125">
  <autoFilter ref="A2:D7" xr:uid="{49F6F76A-2CF7-46A3-9E61-C944DC0AA3FE}">
    <filterColumn colId="0" hiddenButton="1"/>
    <filterColumn colId="1" hiddenButton="1"/>
    <filterColumn colId="2" hiddenButton="1"/>
    <filterColumn colId="3" hiddenButton="1"/>
  </autoFilter>
  <tableColumns count="4">
    <tableColumn id="1" xr3:uid="{F78B24B6-7CCC-4685-99C5-3CB5F38C55AE}" name="Candidate Name (Party)" totalsRowLabel="Total Votes by County" dataDxfId="1124" totalsRowDxfId="1123"/>
    <tableColumn id="4" xr3:uid="{0EB94B6C-A30D-41BF-99EC-2BACFC09703B}" name="Part of New York County Vote Results" totalsRowFunction="custom" dataDxfId="1122" totalsRowDxfId="1121">
      <totalsRowFormula>SUBTOTAL(109,MemberOfAssemblyAssemblyDistrict69General[Total Votes by Candidate])</totalsRowFormula>
    </tableColumn>
    <tableColumn id="3" xr3:uid="{82106AD7-EFE5-4457-A11B-69F7EE09EC9C}" name="Total Votes by Party" totalsRowFunction="custom" dataDxfId="1120" totalsRowDxfId="1119">
      <calculatedColumnFormula>MemberOfAssemblyAssemblyDistrict69General[[#This Row],[Part of New York County Vote Results]]</calculatedColumnFormula>
      <totalsRowFormula>MemberOfAssemblyAssemblyDistrict68General[[#This Row],[Part of New York County Vote Results]]</totalsRowFormula>
    </tableColumn>
    <tableColumn id="2" xr3:uid="{A182F7FC-A9A8-4F0F-910E-C684C83FF3C2}" name="Total Votes by Candidate" dataDxfId="1118" totalsRowDxfId="1117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3" xr:uid="{0AA404EE-867C-4944-A818-1BB7AE1C2E67}" name="MemberOfAssemblyAssemblyDistrict7General" displayName="MemberOfAssemblyAssemblyDistrict7General" ref="A2:D12" totalsRowCount="1" headerRowDxfId="1883" dataDxfId="1881" headerRowBorderDxfId="1882" tableBorderDxfId="1880" totalsRowBorderDxfId="1879">
  <autoFilter ref="A2:D11" xr:uid="{E19D91E1-7459-4196-84D7-F3AAF741A265}">
    <filterColumn colId="0" hiddenButton="1"/>
    <filterColumn colId="1" hiddenButton="1"/>
    <filterColumn colId="2" hiddenButton="1"/>
    <filterColumn colId="3" hiddenButton="1"/>
  </autoFilter>
  <tableColumns count="4">
    <tableColumn id="1" xr3:uid="{37D426C2-94F6-4EF0-B2B6-E4685D7F7AF3}" name="Candidate Name (Party)" totalsRowLabel="Total Votes by County" dataDxfId="1878" totalsRowDxfId="1877"/>
    <tableColumn id="4" xr3:uid="{8756587C-48D2-448D-A2E0-73004272500A}" name="Part of Suffolk County Vote Results" totalsRowFunction="custom" dataDxfId="1876" totalsRowDxfId="1875">
      <totalsRowFormula>SUBTOTAL(109,MemberOfAssemblyAssemblyDistrict7General[Total Votes by Candidate])</totalsRowFormula>
    </tableColumn>
    <tableColumn id="3" xr3:uid="{FF143E45-AFE5-43C1-9D40-8BB568A557BC}" name="Total Votes by Party" dataDxfId="1874">
      <calculatedColumnFormula>MemberOfAssemblyAssemblyDistrict7General[[#This Row],[Part of Suffolk County Vote Results]]</calculatedColumnFormula>
    </tableColumn>
    <tableColumn id="2" xr3:uid="{E7C3DD7E-AF80-4876-B221-4A9A6DE37ADF}" name="Total Votes by Candidate" dataDxfId="1873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8" xr:uid="{E3296B78-A9B7-4D3F-9DAE-253843DFCDA6}" name="MemberOfAssemblyAssemblyDistrict70General" displayName="MemberOfAssemblyAssemblyDistrict70General" ref="A2:D7" totalsRowCount="1" headerRowDxfId="1116" dataDxfId="1114" headerRowBorderDxfId="1115" tableBorderDxfId="1113" totalsRowBorderDxfId="1112">
  <autoFilter ref="A2:D6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163DE2E2-5F60-48AE-B148-45EFC1A039A5}" name="Candidate Name (Party)" totalsRowLabel="Total Votes by County" dataDxfId="1111" totalsRowDxfId="1110"/>
    <tableColumn id="4" xr3:uid="{A2526936-29B4-4934-82FF-D4A80210DD08}" name="Part of New York County Vote Results" totalsRowFunction="custom" dataDxfId="1109" totalsRowDxfId="1108">
      <totalsRowFormula>SUBTOTAL(109,MemberOfAssemblyAssemblyDistrict70General[Total Votes by Candidate])</totalsRowFormula>
    </tableColumn>
    <tableColumn id="3" xr3:uid="{7CAE7808-E351-4C91-8CAA-97FEC16E8732}" name="Total Votes by Party" totalsRowFunction="custom" dataDxfId="1107" totalsRowDxfId="1106">
      <calculatedColumnFormula>MemberOfAssemblyAssemblyDistrict70General[[#This Row],[Part of New York County Vote Results]]</calculatedColumnFormula>
      <totalsRowFormula>MemberOfAssemblyAssemblyDistrict69General[[#This Row],[Part of New York County Vote Results]]</totalsRowFormula>
    </tableColumn>
    <tableColumn id="2" xr3:uid="{46DFC8BA-22D7-4DAC-AD27-EEA842DB7934}" name="Total Votes by Candidate" dataDxfId="1105" totalsRowDxfId="1104"/>
  </tableColumns>
  <tableStyleInfo name="TableStyleMedium2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9" xr:uid="{46AC654D-AD8F-47F2-9E97-B88A65799DF7}" name="MemberOfAssemblyAssemblyDistrict71General" displayName="MemberOfAssemblyAssemblyDistrict71General" ref="A2:D8" totalsRowCount="1" headerRowDxfId="1103" dataDxfId="1101" headerRowBorderDxfId="1102" tableBorderDxfId="1100" totalsRowBorderDxfId="1099">
  <autoFilter ref="A2:D7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DE55A712-169D-4AB5-983D-D0D38018ABF9}" name="Candidate Name (Party)" totalsRowLabel="Total Votes by County" dataDxfId="1098" totalsRowDxfId="1097"/>
    <tableColumn id="4" xr3:uid="{C2332B83-6D95-4D4F-AAED-787F12AFCD52}" name="Part of New York County Vote Results" totalsRowFunction="custom" dataDxfId="1096" totalsRowDxfId="1095">
      <totalsRowFormula>SUBTOTAL(109,MemberOfAssemblyAssemblyDistrict71General[Total Votes by Candidate])</totalsRowFormula>
    </tableColumn>
    <tableColumn id="3" xr3:uid="{870ADC55-291D-4A20-8808-898D9D248DA8}" name="Total Votes by Party" dataDxfId="1094">
      <calculatedColumnFormula>MemberOfAssemblyAssemblyDistrict71General[[#This Row],[Part of New York County Vote Results]]</calculatedColumnFormula>
    </tableColumn>
    <tableColumn id="2" xr3:uid="{E9B65A61-0D27-47B2-AB8A-39CA8B516D28}" name="Total Votes by Candidate" dataDxfId="1093"/>
  </tableColumns>
  <tableStyleInfo name="TableStyleMedium2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0" xr:uid="{B2D04295-0F80-4838-BD34-CDAE64328F57}" name="MemberOfAssemblyAssemblyDistrict72General" displayName="MemberOfAssemblyAssemblyDistrict72General" ref="A2:D9" totalsRowCount="1" headerRowDxfId="1092" dataDxfId="1090" headerRowBorderDxfId="1091" tableBorderDxfId="1089" totalsRowBorderDxfId="1088">
  <autoFilter ref="A2:D8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FCFE4E08-F9FA-4308-B535-95495A0DB40A}" name="Candidate Name (Party)" totalsRowLabel="Total Votes by County" dataDxfId="1087" totalsRowDxfId="1086"/>
    <tableColumn id="4" xr3:uid="{12936EF2-CDB8-4A9F-A6F6-5046CEDBBA08}" name="Part of New York County Vote Results" totalsRowFunction="custom" dataDxfId="1085" totalsRowDxfId="1084">
      <totalsRowFormula>SUBTOTAL(109,MemberOfAssemblyAssemblyDistrict72General[Total Votes by Candidate])</totalsRowFormula>
    </tableColumn>
    <tableColumn id="3" xr3:uid="{E73DABD6-4DC7-4925-9C71-A07A7D121620}" name="Total Votes by Party" dataDxfId="1083">
      <calculatedColumnFormula>MemberOfAssemblyAssemblyDistrict72General[[#This Row],[Part of New York County Vote Results]]</calculatedColumnFormula>
    </tableColumn>
    <tableColumn id="2" xr3:uid="{2F8B2997-7DE0-4837-8AD8-1097CFADC94E}" name="Total Votes by Candidate" dataDxfId="1082"/>
  </tableColumns>
  <tableStyleInfo name="TableStyleMedium2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1" xr:uid="{684B1DE2-5C54-44EF-9423-B3250A73254D}" name="MemberOfAssemblyAssemblyDistrict73General" displayName="MemberOfAssemblyAssemblyDistrict73General" ref="A2:D11" totalsRowCount="1" headerRowDxfId="1081" dataDxfId="1079" headerRowBorderDxfId="1080" tableBorderDxfId="1078" totalsRowBorderDxfId="1077">
  <autoFilter ref="A2:D10" xr:uid="{F8344306-FA5C-4A2A-866C-4B4891817A6F}">
    <filterColumn colId="0" hiddenButton="1"/>
    <filterColumn colId="1" hiddenButton="1"/>
    <filterColumn colId="2" hiddenButton="1"/>
    <filterColumn colId="3" hiddenButton="1"/>
  </autoFilter>
  <tableColumns count="4">
    <tableColumn id="1" xr3:uid="{91017461-549A-484F-8FCB-E1924CF780F6}" name="Candidate Name (Party)" totalsRowLabel="Total Votes by County" dataDxfId="1076" totalsRowDxfId="1075"/>
    <tableColumn id="4" xr3:uid="{33AD9FF9-6404-4107-9BE6-50AFE24A9C91}" name="Part of New York County Vote Results" totalsRowFunction="custom" dataDxfId="1074" totalsRowDxfId="1073">
      <totalsRowFormula>SUBTOTAL(109,MemberOfAssemblyAssemblyDistrict73General[Total Votes by Candidate])</totalsRowFormula>
    </tableColumn>
    <tableColumn id="3" xr3:uid="{B9199826-AA3D-4809-9FAF-F3C6E49DD5B8}" name="Total Votes by Party" dataDxfId="1072">
      <calculatedColumnFormula>MemberOfAssemblyAssemblyDistrict73General[[#This Row],[Part of New York County Vote Results]]</calculatedColumnFormula>
    </tableColumn>
    <tableColumn id="2" xr3:uid="{853CF1D9-D7A3-436A-82A6-359F13AA73A5}" name="Total Votes by Candidate" dataDxfId="1071"/>
  </tableColumns>
  <tableStyleInfo name="TableStyleMedium2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2" xr:uid="{C25FEFA4-90F8-41EF-864D-FB382A1DB46E}" name="MemberOfAssemblyAssemblyDistrict74General" displayName="MemberOfAssemblyAssemblyDistrict74General" ref="A2:D10" totalsRowCount="1" headerRowDxfId="1070" dataDxfId="1068" headerRowBorderDxfId="1069" tableBorderDxfId="1067" totalsRowBorderDxfId="1066">
  <autoFilter ref="A2:D9" xr:uid="{6AAEA862-096D-426F-818F-6A9BEB4EB583}">
    <filterColumn colId="0" hiddenButton="1"/>
    <filterColumn colId="1" hiddenButton="1"/>
    <filterColumn colId="2" hiddenButton="1"/>
    <filterColumn colId="3" hiddenButton="1"/>
  </autoFilter>
  <tableColumns count="4">
    <tableColumn id="1" xr3:uid="{7D73367B-5C1C-41EE-9F7F-5B670427278B}" name="Candidate Name (Party)" totalsRowLabel="Total Votes by County" dataDxfId="1065" totalsRowDxfId="1064"/>
    <tableColumn id="4" xr3:uid="{04FB87CD-6E3B-4F44-933E-3D7E1AC03699}" name="Part of New York County Vote Results" totalsRowFunction="custom" dataDxfId="1063" totalsRowDxfId="1062">
      <totalsRowFormula>SUBTOTAL(109,MemberOfAssemblyAssemblyDistrict74General[Total Votes by Candidate])</totalsRowFormula>
    </tableColumn>
    <tableColumn id="3" xr3:uid="{82886A62-8CE8-46EA-9142-31355A20C8F1}" name="Total Votes by Party" totalsRowFunction="custom" dataDxfId="1061" totalsRowDxfId="1060">
      <calculatedColumnFormula>MemberOfAssemblyAssemblyDistrict74General[[#This Row],[Part of New York County Vote Results]]</calculatedColumnFormula>
      <totalsRowFormula>MemberOfAssemblyAssemblyDistrict73General[[#This Row],[Part of New York County Vote Results]]</totalsRowFormula>
    </tableColumn>
    <tableColumn id="2" xr3:uid="{5E4249D2-6A69-4BCA-9895-7D1A88439D59}" name="Total Votes by Candidate" dataDxfId="1059" totalsRowDxfId="1058"/>
  </tableColumns>
  <tableStyleInfo name="TableStyleMedium2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3" xr:uid="{E18E7E63-7943-4DA3-9E90-74332734943F}" name="MemberOfAssemblyAssemblyDistrict75General" displayName="MemberOfAssemblyAssemblyDistrict75General" ref="A2:D9" totalsRowCount="1" headerRowDxfId="1057" dataDxfId="1055" headerRowBorderDxfId="1056" tableBorderDxfId="1054" totalsRowBorderDxfId="1053">
  <autoFilter ref="A2:D8" xr:uid="{26E716A0-5533-40E4-B82D-C8105E11FC7B}">
    <filterColumn colId="0" hiddenButton="1"/>
    <filterColumn colId="1" hiddenButton="1"/>
    <filterColumn colId="2" hiddenButton="1"/>
    <filterColumn colId="3" hiddenButton="1"/>
  </autoFilter>
  <tableColumns count="4">
    <tableColumn id="1" xr3:uid="{37FD1BA9-2CCE-45C3-89E2-35D8978DFAEE}" name="Candidate Name (Party)" totalsRowLabel="Total Votes by County" dataDxfId="1052" totalsRowDxfId="1051"/>
    <tableColumn id="4" xr3:uid="{E8896A5B-CA86-448B-B186-A3F7FBA69E5A}" name="Part of New York County Vote Results" totalsRowFunction="custom" dataDxfId="1050" totalsRowDxfId="1049">
      <totalsRowFormula>SUBTOTAL(109,MemberOfAssemblyAssemblyDistrict75General[Total Votes by Candidate])</totalsRowFormula>
    </tableColumn>
    <tableColumn id="3" xr3:uid="{D6B00045-2E2E-4595-B40A-C7CF192E7144}" name="Total Votes by Party" totalsRowFunction="custom" dataDxfId="1048" totalsRowDxfId="1047">
      <calculatedColumnFormula>MemberOfAssemblyAssemblyDistrict75General[[#This Row],[Part of New York County Vote Results]]</calculatedColumnFormula>
      <totalsRowFormula>MemberOfAssemblyAssemblyDistrict74General[[#This Row],[Part of New York County Vote Results]]</totalsRowFormula>
    </tableColumn>
    <tableColumn id="2" xr3:uid="{1D1B8B1F-869D-48B4-80B2-C9ADFEC284A0}" name="Total Votes by Candidate" dataDxfId="1046" totalsRowDxfId="1045"/>
  </tableColumns>
  <tableStyleInfo name="TableStyleMedium2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4" xr:uid="{6CD3917C-34CB-4230-979F-A8C10005FFAF}" name="MemberOfAssemblyAssemblyDistrict76General" displayName="MemberOfAssemblyAssemblyDistrict76General" ref="A2:D9" totalsRowCount="1" headerRowDxfId="1044" dataDxfId="1042" headerRowBorderDxfId="1043" tableBorderDxfId="1041" totalsRowBorderDxfId="1040">
  <autoFilter ref="A2:D8" xr:uid="{E4C5F385-3618-4C3A-AA69-7444438E6F16}">
    <filterColumn colId="0" hiddenButton="1"/>
    <filterColumn colId="1" hiddenButton="1"/>
    <filterColumn colId="2" hiddenButton="1"/>
    <filterColumn colId="3" hiddenButton="1"/>
  </autoFilter>
  <tableColumns count="4">
    <tableColumn id="1" xr3:uid="{E6A63257-3AE8-49E6-A9E5-593DD4CB8A24}" name="Candidate Name (Party)" totalsRowLabel="Total Votes by County" dataDxfId="1039" totalsRowDxfId="1038"/>
    <tableColumn id="4" xr3:uid="{DF7CDBAF-D6F0-445E-9793-82A76F6D2D5C}" name="Part of New York County Vote Results" totalsRowFunction="custom" dataDxfId="1037" totalsRowDxfId="1036">
      <totalsRowFormula>SUBTOTAL(109,MemberOfAssemblyAssemblyDistrict76General[Total Votes by Candidate])</totalsRowFormula>
    </tableColumn>
    <tableColumn id="3" xr3:uid="{2663E715-94D1-4AA3-A886-B19273BAD386}" name="Total Votes by Party" totalsRowFunction="custom" dataDxfId="1035" totalsRowDxfId="1034">
      <calculatedColumnFormula>MemberOfAssemblyAssemblyDistrict76General[[#This Row],[Part of New York County Vote Results]]</calculatedColumnFormula>
      <totalsRowFormula>MemberOfAssemblyAssemblyDistrict74General[[#This Row],[Part of New York County Vote Results]]</totalsRowFormula>
    </tableColumn>
    <tableColumn id="2" xr3:uid="{ACCC3A90-611B-44E7-A79D-662B82509863}" name="Total Votes by Candidate" dataDxfId="1033" totalsRowDxfId="1032"/>
  </tableColumns>
  <tableStyleInfo name="TableStyleMedium2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5" xr:uid="{D1595BD7-E74A-4A8F-9596-14FB15DFC9D4}" name="MemberOfAssemblyAssemblyDistrict77General" displayName="MemberOfAssemblyAssemblyDistrict77General" ref="A2:D9" totalsRowCount="1" headerRowDxfId="1031" dataDxfId="1029" headerRowBorderDxfId="1030" tableBorderDxfId="1028" totalsRowBorderDxfId="1027">
  <autoFilter ref="A2:D8" xr:uid="{D5902526-686A-44DC-97B7-8F01FD67572F}">
    <filterColumn colId="0" hiddenButton="1"/>
    <filterColumn colId="1" hiddenButton="1"/>
    <filterColumn colId="2" hiddenButton="1"/>
    <filterColumn colId="3" hiddenButton="1"/>
  </autoFilter>
  <tableColumns count="4">
    <tableColumn id="1" xr3:uid="{B74A0BFE-7CA9-4D52-8FBD-612E7E042B23}" name="Candidate Name (Party)" totalsRowLabel="Total Votes by County" dataDxfId="1026" totalsRowDxfId="1025"/>
    <tableColumn id="4" xr3:uid="{E8DD162D-8C32-4040-8BD3-5E989C0D3E54}" name="Part of Bronx County Vote Results" totalsRowFunction="custom" dataDxfId="1024" totalsRowDxfId="1023">
      <totalsRowFormula>SUBTOTAL(109,MemberOfAssemblyAssemblyDistrict77General[Total Votes by Candidate])</totalsRowFormula>
    </tableColumn>
    <tableColumn id="3" xr3:uid="{0B471A51-E0C0-48BB-90CC-1098F67F3890}" name="Total Votes by Party" totalsRowFunction="custom" dataDxfId="1022" totalsRowDxfId="1021">
      <calculatedColumnFormula>MemberOfAssemblyAssemblyDistrict77General[[#This Row],[Part of Bronx County Vote Results]]</calculatedColumnFormula>
      <totalsRowFormula>MemberOfAssemblyAssemblyDistrict74General[[#This Row],[Part of New York County Vote Results]]</totalsRowFormula>
    </tableColumn>
    <tableColumn id="2" xr3:uid="{DC2BD842-54B7-4DB2-A721-4A10F0547464}" name="Total Votes by Candidate" dataDxfId="1020" totalsRowDxfId="1019"/>
  </tableColumns>
  <tableStyleInfo name="TableStyleMedium2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6" xr:uid="{403CA37D-1147-45D7-BB33-738642774F68}" name="MemberOfAssemblyAssemblyDistrict78General" displayName="MemberOfAssemblyAssemblyDistrict78General" ref="A2:D9" totalsRowCount="1" headerRowDxfId="1018" dataDxfId="1016" headerRowBorderDxfId="1017" tableBorderDxfId="1015" totalsRowBorderDxfId="1014">
  <autoFilter ref="A2:D8" xr:uid="{1C186A63-5704-4871-B9D8-63A1F2032F8D}">
    <filterColumn colId="0" hiddenButton="1"/>
    <filterColumn colId="1" hiddenButton="1"/>
    <filterColumn colId="2" hiddenButton="1"/>
    <filterColumn colId="3" hiddenButton="1"/>
  </autoFilter>
  <tableColumns count="4">
    <tableColumn id="1" xr3:uid="{75B118DB-D98F-4CC1-9192-0B72BFADC667}" name="Candidate Name (Party)" totalsRowLabel="Total Votes by County" dataDxfId="1013" totalsRowDxfId="1012"/>
    <tableColumn id="4" xr3:uid="{9D8A1AA2-6D3B-4BF1-9DC3-249E4F651721}" name="Part of Bronx County Vote Results" totalsRowFunction="custom" dataDxfId="1011" totalsRowDxfId="1010">
      <totalsRowFormula>SUBTOTAL(109,MemberOfAssemblyAssemblyDistrict78General[Total Votes by Candidate])</totalsRowFormula>
    </tableColumn>
    <tableColumn id="3" xr3:uid="{9AA4F867-D88F-4C65-834B-0578B2209BD2}" name="Total Votes by Party" totalsRowFunction="custom" dataDxfId="1009" totalsRowDxfId="1008">
      <calculatedColumnFormula>MemberOfAssemblyAssemblyDistrict78General[[#This Row],[Part of Bronx County Vote Results]]</calculatedColumnFormula>
      <totalsRowFormula>MemberOfAssemblyAssemblyDistrict74General[[#This Row],[Part of New York County Vote Results]]</totalsRowFormula>
    </tableColumn>
    <tableColumn id="2" xr3:uid="{D54FB104-EDDB-4B67-B71E-A7602CF6D8F2}" name="Total Votes by Candidate" dataDxfId="1007" totalsRowDxfId="1006"/>
  </tableColumns>
  <tableStyleInfo name="TableStyleMedium2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7" xr:uid="{EB042A58-589D-4341-A8F0-FC66A20D92E1}" name="MemberOfAssemblyAssemblyDistrict79General" displayName="MemberOfAssemblyAssemblyDistrict79General" ref="A2:D10" totalsRowCount="1" headerRowDxfId="1005" dataDxfId="1003" headerRowBorderDxfId="1004" tableBorderDxfId="1002" totalsRowBorderDxfId="1001">
  <autoFilter ref="A2:D9" xr:uid="{81BBD529-E491-4025-BCA0-C38B200E086B}">
    <filterColumn colId="0" hiddenButton="1"/>
    <filterColumn colId="1" hiddenButton="1"/>
    <filterColumn colId="2" hiddenButton="1"/>
    <filterColumn colId="3" hiddenButton="1"/>
  </autoFilter>
  <tableColumns count="4">
    <tableColumn id="1" xr3:uid="{75ABA7CB-84F8-4DB3-B10E-00822D238297}" name="Candidate Name (Party)" totalsRowLabel="Total Votes by County" dataDxfId="1000" totalsRowDxfId="999"/>
    <tableColumn id="4" xr3:uid="{013FDD26-5602-47E7-A453-912B8771D696}" name="Part of Bronx County Vote Results" totalsRowFunction="custom" dataDxfId="998" totalsRowDxfId="997">
      <totalsRowFormula>SUBTOTAL(109,MemberOfAssemblyAssemblyDistrict79General[Total Votes by Candidate])</totalsRowFormula>
    </tableColumn>
    <tableColumn id="3" xr3:uid="{4905C458-DFD1-4E76-B6C0-9A750358104E}" name="Total Votes by Party" dataDxfId="996">
      <calculatedColumnFormula>MemberOfAssemblyAssemblyDistrict79General[[#This Row],[Part of Bronx County Vote Results]]</calculatedColumnFormula>
    </tableColumn>
    <tableColumn id="2" xr3:uid="{839A2981-B641-4A86-AF9F-519FA8E44B2A}" name="Total Votes by Candidate" dataDxfId="995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4" xr:uid="{C97C49E9-0937-4739-B837-0CF79B6FBEBE}" name="MemberOfAssemblyAssemblyDistrict8General" displayName="MemberOfAssemblyAssemblyDistrict8General" ref="A2:D11" totalsRowCount="1" headerRowDxfId="1872" dataDxfId="1870" headerRowBorderDxfId="1871" tableBorderDxfId="1869" totalsRowBorderDxfId="1868">
  <autoFilter ref="A2:D10" xr:uid="{2EB45D3F-D06A-4F7A-81D8-067FDDEBE90C}">
    <filterColumn colId="0" hiddenButton="1"/>
    <filterColumn colId="1" hiddenButton="1"/>
    <filterColumn colId="2" hiddenButton="1"/>
    <filterColumn colId="3" hiddenButton="1"/>
  </autoFilter>
  <tableColumns count="4">
    <tableColumn id="1" xr3:uid="{27D4A675-76FF-49BA-9684-3D0411EFC352}" name="Candidate Name (Party)" totalsRowLabel="Total Votes by County" dataDxfId="1867" totalsRowDxfId="1866"/>
    <tableColumn id="4" xr3:uid="{63579679-268A-409A-B465-C450B45B3CFF}" name="Part of Suffolk County Vote Results" totalsRowFunction="custom" dataDxfId="1865" totalsRowDxfId="1864">
      <totalsRowFormula>SUBTOTAL(109,MemberOfAssemblyAssemblyDistrict8General[Total Votes by Candidate])</totalsRowFormula>
    </tableColumn>
    <tableColumn id="3" xr3:uid="{A8CF0D0D-EA72-4FB5-B0BB-2F301DFC5DF9}" name="Total Votes by Party" totalsRowFunction="custom" dataDxfId="1863" totalsRowDxfId="1862">
      <calculatedColumnFormula>MemberOfAssemblyAssemblyDistrict8General[[#This Row],[Part of Suffolk County Vote Results]]</calculatedColumnFormula>
      <totalsRowFormula>MemberOfAssemblyAssemblyDistrict7General[[#This Row],[Part of Suffolk County Vote Results]]</totalsRowFormula>
    </tableColumn>
    <tableColumn id="2" xr3:uid="{42362A10-24AF-40D7-AF9F-DA81E94B93AC}" name="Total Votes by Candidate" dataDxfId="1861" totalsRowDxfId="1860"/>
  </tableColumns>
  <tableStyleInfo name="TableStyleMedium2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8" xr:uid="{DE2FA51A-7DE3-4FEC-B31E-EFDAC8509B99}" name="MemberOfAssemblyAssemblyDistrict80General" displayName="MemberOfAssemblyAssemblyDistrict80General" ref="A2:D9" totalsRowCount="1" headerRowDxfId="994" dataDxfId="992" headerRowBorderDxfId="993" tableBorderDxfId="991" totalsRowBorderDxfId="990">
  <autoFilter ref="A2:D8" xr:uid="{34869E17-FACC-4DEE-BEBD-AF2020546F5C}">
    <filterColumn colId="0" hiddenButton="1"/>
    <filterColumn colId="1" hiddenButton="1"/>
    <filterColumn colId="2" hiddenButton="1"/>
    <filterColumn colId="3" hiddenButton="1"/>
  </autoFilter>
  <tableColumns count="4">
    <tableColumn id="1" xr3:uid="{594A3CDC-629F-4BA2-A103-AF51CE52E055}" name="Candidate Name (Party)" totalsRowLabel="Total Votes by County" dataDxfId="989" totalsRowDxfId="988"/>
    <tableColumn id="4" xr3:uid="{5908CC7E-739D-4E06-9422-3042ABBE13D2}" name="Part of Bronx County Vote Results" totalsRowFunction="custom" dataDxfId="987" totalsRowDxfId="986">
      <totalsRowFormula>SUBTOTAL(109,MemberOfAssemblyAssemblyDistrict80General[Total Votes by Candidate])</totalsRowFormula>
    </tableColumn>
    <tableColumn id="3" xr3:uid="{F7BDA326-9F7A-47EE-B0CE-3AD28096B089}" name="Total Votes by Party" totalsRowFunction="custom" dataDxfId="985" totalsRowDxfId="984">
      <calculatedColumnFormula>MemberOfAssemblyAssemblyDistrict80General[[#This Row],[Part of Bronx County Vote Results]]</calculatedColumnFormula>
      <totalsRowFormula>MemberOfAssemblyAssemblyDistrict79General[[#This Row],[Part of Bronx County Vote Results]]</totalsRowFormula>
    </tableColumn>
    <tableColumn id="2" xr3:uid="{1E945435-4097-448B-8579-7BFAC824A089}" name="Total Votes by Candidate" dataDxfId="983" totalsRowDxfId="982"/>
  </tableColumns>
  <tableStyleInfo name="TableStyleMedium2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9" xr:uid="{07788026-7E29-4D81-9E8F-AACDB5E3FFB4}" name="MemberOfAssemblyAssemblyDistrict81General" displayName="MemberOfAssemblyAssemblyDistrict81General" ref="A2:D11" totalsRowCount="1" headerRowDxfId="981" dataDxfId="979" headerRowBorderDxfId="980" tableBorderDxfId="978" totalsRowBorderDxfId="977">
  <autoFilter ref="A2:D10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BF3820C7-F25A-466F-8FDC-AC902179430E}" name="Candidate Name (Party)" totalsRowLabel="Total Votes by County" dataDxfId="976" totalsRowDxfId="975"/>
    <tableColumn id="4" xr3:uid="{EC45BB6C-F6A8-499B-9EB1-3EC87F6314CD}" name="Part of Bronx County Vote Results" totalsRowFunction="custom" dataDxfId="974" totalsRowDxfId="973">
      <totalsRowFormula>SUBTOTAL(109,MemberOfAssemblyAssemblyDistrict81General[Total Votes by Candidate])</totalsRowFormula>
    </tableColumn>
    <tableColumn id="3" xr3:uid="{ABE97A7A-137B-450F-9389-234F093C09BF}" name="Total Votes by Party" dataDxfId="972">
      <calculatedColumnFormula>MemberOfAssemblyAssemblyDistrict81General[[#This Row],[Part of Bronx County Vote Results]]</calculatedColumnFormula>
    </tableColumn>
    <tableColumn id="2" xr3:uid="{EC0AB2F2-5CFA-4D7A-954F-1A015917743A}" name="Total Votes by Candidate" dataDxfId="971"/>
  </tableColumns>
  <tableStyleInfo name="TableStyleMedium2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0" xr:uid="{C426E513-75E1-4B68-A342-DBEC6C709958}" name="MemberOfAssemblyAssemblyDistrict82General" displayName="MemberOfAssemblyAssemblyDistrict82General" ref="A2:D9" totalsRowCount="1" headerRowDxfId="970" dataDxfId="968" headerRowBorderDxfId="969" tableBorderDxfId="967" totalsRowBorderDxfId="966">
  <autoFilter ref="A2:D8" xr:uid="{B76A93E2-1975-4BD7-8DD6-7CEB7D707669}">
    <filterColumn colId="0" hiddenButton="1"/>
    <filterColumn colId="1" hiddenButton="1"/>
    <filterColumn colId="2" hiddenButton="1"/>
    <filterColumn colId="3" hiddenButton="1"/>
  </autoFilter>
  <tableColumns count="4">
    <tableColumn id="1" xr3:uid="{0179E837-6427-4937-A651-AA14A9316651}" name="Candidate Name (Party)" totalsRowLabel="Total Votes by County" dataDxfId="965" totalsRowDxfId="964"/>
    <tableColumn id="4" xr3:uid="{78D69EF2-4129-4AF5-8266-7817A52E8583}" name="Part of Bronx County Vote Results" totalsRowFunction="custom" dataDxfId="963" totalsRowDxfId="962">
      <totalsRowFormula>SUBTOTAL(109,MemberOfAssemblyAssemblyDistrict82General[Total Votes by Candidate])</totalsRowFormula>
    </tableColumn>
    <tableColumn id="3" xr3:uid="{5C5E15B6-E771-4AB9-B7D1-F2887835C22B}" name="Total Votes by Party" totalsRowFunction="custom" dataDxfId="961" totalsRowDxfId="960">
      <calculatedColumnFormula>MemberOfAssemblyAssemblyDistrict82General[[#This Row],[Part of Bronx County Vote Results]]</calculatedColumnFormula>
      <totalsRowFormula>MemberOfAssemblyAssemblyDistrict81General[[#This Row],[Part of Bronx County Vote Results]]</totalsRowFormula>
    </tableColumn>
    <tableColumn id="2" xr3:uid="{D9700640-9D78-4505-8FB2-BACE8D8166D6}" name="Total Votes by Candidate" dataDxfId="959" totalsRowDxfId="958"/>
  </tableColumns>
  <tableStyleInfo name="TableStyleMedium2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1" xr:uid="{CDFEB943-28AB-4EFD-A8DA-03B938D70919}" name="MemberOfAssemblyAssemblyDistrict83General" displayName="MemberOfAssemblyAssemblyDistrict83General" ref="A2:D9" totalsRowCount="1" headerRowDxfId="957" dataDxfId="955" headerRowBorderDxfId="956" tableBorderDxfId="954" totalsRowBorderDxfId="953">
  <autoFilter ref="A2:D8" xr:uid="{3E26DF29-ABA1-4EAF-8B47-B7644EBFBFA0}">
    <filterColumn colId="0" hiddenButton="1"/>
    <filterColumn colId="1" hiddenButton="1"/>
    <filterColumn colId="2" hiddenButton="1"/>
    <filterColumn colId="3" hiddenButton="1"/>
  </autoFilter>
  <tableColumns count="4">
    <tableColumn id="1" xr3:uid="{8518B1BD-E9F6-4951-B568-F0854E8FC4F1}" name="Candidate Name (Party)" totalsRowLabel="Total Votes by County" dataDxfId="952" totalsRowDxfId="951"/>
    <tableColumn id="4" xr3:uid="{290E58F7-0D0F-48DA-AAD3-6576B374A9DB}" name="Part of Bronx County Vote Results" totalsRowFunction="custom" dataDxfId="950" totalsRowDxfId="949">
      <totalsRowFormula>SUBTOTAL(109,MemberOfAssemblyAssemblyDistrict83General[Total Votes by Candidate])</totalsRowFormula>
    </tableColumn>
    <tableColumn id="3" xr3:uid="{68259163-25D5-44FD-8CEE-EF7F2383CCB2}" name="Total Votes by Party" totalsRowFunction="custom" dataDxfId="948" totalsRowDxfId="947">
      <calculatedColumnFormula>MemberOfAssemblyAssemblyDistrict83General[[#This Row],[Part of Bronx County Vote Results]]</calculatedColumnFormula>
      <totalsRowFormula>MemberOfAssemblyAssemblyDistrict81General[[#This Row],[Part of Bronx County Vote Results]]</totalsRowFormula>
    </tableColumn>
    <tableColumn id="2" xr3:uid="{7C726F44-6F2B-4833-8F17-938DA667A130}" name="Total Votes by Candidate" dataDxfId="946" totalsRowDxfId="945"/>
  </tableColumns>
  <tableStyleInfo name="TableStyleMedium2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2" xr:uid="{410B21EA-01ED-4A21-9D43-3D3089CEA0C1}" name="MemberOfAssemblyAssemblyDistrict84General" displayName="MemberOfAssemblyAssemblyDistrict84General" ref="A2:D10" totalsRowCount="1" headerRowDxfId="944" dataDxfId="942" headerRowBorderDxfId="943" tableBorderDxfId="941" totalsRowBorderDxfId="940">
  <autoFilter ref="A2:D9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577FC3A7-86AF-4C9A-9A4B-309AAF44DB2B}" name="Candidate Name (Party)" totalsRowLabel="Total Votes by County" dataDxfId="939" totalsRowDxfId="938"/>
    <tableColumn id="4" xr3:uid="{9AF0C113-DCD8-4F4F-B078-AE5802086005}" name="Part of Bronx County Vote Results" totalsRowFunction="custom" dataDxfId="937" totalsRowDxfId="936">
      <totalsRowFormula>SUBTOTAL(109,MemberOfAssemblyAssemblyDistrict84General[Total Votes by Candidate])</totalsRowFormula>
    </tableColumn>
    <tableColumn id="3" xr3:uid="{A373CF48-E75C-4A4A-AFF2-516AE342503A}" name="Total Votes by Party" dataDxfId="935">
      <calculatedColumnFormula>MemberOfAssemblyAssemblyDistrict84General[[#This Row],[Part of Bronx County Vote Results]]</calculatedColumnFormula>
    </tableColumn>
    <tableColumn id="2" xr3:uid="{E133F852-5468-47C0-89ED-A2073A8FC637}" name="Total Votes by Candidate" dataDxfId="934"/>
  </tableColumns>
  <tableStyleInfo name="TableStyleMedium2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3" xr:uid="{120072D3-D63B-4417-AF15-5C84BBE11EFC}" name="MemberOfAssemblyAssemblyDistrict85General" displayName="MemberOfAssemblyAssemblyDistrict85General" ref="A2:D9" totalsRowCount="1" headerRowDxfId="933" dataDxfId="931" headerRowBorderDxfId="932" tableBorderDxfId="930" totalsRowBorderDxfId="929">
  <autoFilter ref="A2:D8" xr:uid="{CEB3E35A-3F54-4D50-A9AF-773FC7AF02B5}">
    <filterColumn colId="0" hiddenButton="1"/>
    <filterColumn colId="1" hiddenButton="1"/>
    <filterColumn colId="2" hiddenButton="1"/>
    <filterColumn colId="3" hiddenButton="1"/>
  </autoFilter>
  <tableColumns count="4">
    <tableColumn id="1" xr3:uid="{0671DCA2-E4F7-4F54-963A-1B9E1B04CF40}" name="Candidate Name (Party)" totalsRowLabel="Total Votes by County" dataDxfId="928" totalsRowDxfId="927"/>
    <tableColumn id="4" xr3:uid="{C8CF7DAD-E5F4-42B4-A722-0033C904E4E1}" name="Part of Bronx County Vote Results" totalsRowFunction="custom" dataDxfId="926" totalsRowDxfId="925">
      <totalsRowFormula>SUBTOTAL(109,MemberOfAssemblyAssemblyDistrict85General[Total Votes by Candidate])</totalsRowFormula>
    </tableColumn>
    <tableColumn id="3" xr3:uid="{7F1E2407-FBFA-4D66-BEF1-EC6C7DABF1B3}" name="Total Votes by Party" totalsRowFunction="custom" dataDxfId="924" totalsRowDxfId="923">
      <calculatedColumnFormula>MemberOfAssemblyAssemblyDistrict85General[[#This Row],[Part of Bronx County Vote Results]]</calculatedColumnFormula>
      <totalsRowFormula>MemberOfAssemblyAssemblyDistrict84General[[#This Row],[Part of Bronx County Vote Results]]</totalsRowFormula>
    </tableColumn>
    <tableColumn id="2" xr3:uid="{A9628D7D-14D6-499C-A103-63B490236E1F}" name="Total Votes by Candidate" dataDxfId="922" totalsRowDxfId="921"/>
  </tableColumns>
  <tableStyleInfo name="TableStyleMedium2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4" xr:uid="{5DA1E8BD-BCC5-4050-8369-9F548328E8E9}" name="MemberOfAssemblyAssemblyDistrict86General" displayName="MemberOfAssemblyAssemblyDistrict86General" ref="A2:D10" totalsRowCount="1" headerRowDxfId="920" dataDxfId="918" headerRowBorderDxfId="919" tableBorderDxfId="917" totalsRowBorderDxfId="916">
  <autoFilter ref="A2:D9" xr:uid="{2B5704FE-706F-47C3-959B-9BA0632CF0E7}">
    <filterColumn colId="0" hiddenButton="1"/>
    <filterColumn colId="1" hiddenButton="1"/>
    <filterColumn colId="2" hiddenButton="1"/>
    <filterColumn colId="3" hiddenButton="1"/>
  </autoFilter>
  <tableColumns count="4">
    <tableColumn id="1" xr3:uid="{804327D9-25E5-423D-978F-43DA94F80EE5}" name="Candidate Name (Party)" totalsRowLabel="Total Votes by County" dataDxfId="915" totalsRowDxfId="914"/>
    <tableColumn id="4" xr3:uid="{E4B5903D-05BE-4A98-A21A-17B2F63537D9}" name="Part of Bronx County Vote Results" totalsRowFunction="custom" dataDxfId="913" totalsRowDxfId="912">
      <totalsRowFormula>SUBTOTAL(109,MemberOfAssemblyAssemblyDistrict86General[Total Votes by Candidate])</totalsRowFormula>
    </tableColumn>
    <tableColumn id="3" xr3:uid="{1C40EEC7-FCFE-4A72-AA3A-4FBADE11BA3F}" name="Total Votes by Party" dataDxfId="911">
      <calculatedColumnFormula>MemberOfAssemblyAssemblyDistrict86General[[#This Row],[Part of Bronx County Vote Results]]</calculatedColumnFormula>
    </tableColumn>
    <tableColumn id="2" xr3:uid="{FF73A46A-A2B7-4106-931A-E343FFE4E72D}" name="Total Votes by Candidate" dataDxfId="910"/>
  </tableColumns>
  <tableStyleInfo name="TableStyleMedium2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5" xr:uid="{DEFDD25F-A497-4073-8B30-899FAC9FFBBD}" name="MemberOfAssemblyAssemblyDistrict87General" displayName="MemberOfAssemblyAssemblyDistrict87General" ref="A2:D10" totalsRowCount="1" headerRowDxfId="909" dataDxfId="907" headerRowBorderDxfId="908" tableBorderDxfId="906" totalsRowBorderDxfId="905">
  <autoFilter ref="A2:D9" xr:uid="{517D48A4-44D2-4D42-9D5F-B6FA55B3BDFE}">
    <filterColumn colId="0" hiddenButton="1"/>
    <filterColumn colId="1" hiddenButton="1"/>
    <filterColumn colId="2" hiddenButton="1"/>
    <filterColumn colId="3" hiddenButton="1"/>
  </autoFilter>
  <tableColumns count="4">
    <tableColumn id="1" xr3:uid="{5CEC1209-2FD0-4341-995D-EC6E952123F7}" name="Candidate Name (Party)" totalsRowLabel="Total Votes by County" dataDxfId="904" totalsRowDxfId="903"/>
    <tableColumn id="4" xr3:uid="{5ADF62C6-F005-4898-AB04-C0273B2D9620}" name="Part of Bronx County Vote Results" totalsRowFunction="custom" dataDxfId="902" totalsRowDxfId="901">
      <totalsRowFormula>SUBTOTAL(109,MemberOfAssemblyAssemblyDistrict87General[Total Votes by Candidate])</totalsRowFormula>
    </tableColumn>
    <tableColumn id="3" xr3:uid="{CE546932-CD04-4B3F-B45E-3DD491DAE237}" name="Total Votes by Party" dataDxfId="900">
      <calculatedColumnFormula>MemberOfAssemblyAssemblyDistrict87General[[#This Row],[Part of Bronx County Vote Results]]</calculatedColumnFormula>
    </tableColumn>
    <tableColumn id="2" xr3:uid="{D5FB8B64-9ABD-4768-A8D5-B56FAFF95343}" name="Total Votes by Candidate" dataDxfId="899"/>
  </tableColumns>
  <tableStyleInfo name="TableStyleMedium2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7" xr:uid="{BB5FB80D-1A5A-414B-9A0C-F8ECF84EB92B}" name="MemberOfAssemblyAssemblyDistrict88General" displayName="MemberOfAssemblyAssemblyDistrict88General" ref="A2:D10" totalsRowCount="1" headerRowDxfId="898" dataDxfId="896" headerRowBorderDxfId="897" tableBorderDxfId="895" totalsRowBorderDxfId="894">
  <autoFilter ref="A2:D9" xr:uid="{5222BB5E-8B89-464E-89E2-E688BB379254}">
    <filterColumn colId="0" hiddenButton="1"/>
    <filterColumn colId="1" hiddenButton="1"/>
    <filterColumn colId="2" hiddenButton="1"/>
    <filterColumn colId="3" hiddenButton="1"/>
  </autoFilter>
  <tableColumns count="4">
    <tableColumn id="1" xr3:uid="{92405377-9E0C-4E78-BDA9-530091D06186}" name="Candidate Name (Party)" totalsRowLabel="Total Votes by County" dataDxfId="893" totalsRowDxfId="892"/>
    <tableColumn id="4" xr3:uid="{36FC9A74-126C-47A2-AE2C-593C728F5482}" name="Part of Westchester County Vote Results" totalsRowFunction="custom" dataDxfId="891" totalsRowDxfId="890">
      <totalsRowFormula>SUBTOTAL(109,MemberOfAssemblyAssemblyDistrict88General[Total Votes by Candidate])</totalsRowFormula>
    </tableColumn>
    <tableColumn id="3" xr3:uid="{BFEC5971-65E9-4E8D-9020-5DF2967DD072}" name="Total Votes by Party" dataDxfId="889">
      <calculatedColumnFormula>MemberOfAssemblyAssemblyDistrict88General[[#This Row],[Part of Westchester County Vote Results]]</calculatedColumnFormula>
    </tableColumn>
    <tableColumn id="2" xr3:uid="{0EAEA532-332B-464A-B786-8D0C74AC2250}" name="Total Votes by Candidate" dataDxfId="888"/>
  </tableColumns>
  <tableStyleInfo name="TableStyleMedium2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8" xr:uid="{0DA93B16-A3FE-47EF-8ABF-4B88979069F9}" name="MemberOfAssemblyAssemblyDistrict89General" displayName="MemberOfAssemblyAssemblyDistrict89General" ref="A2:D7" totalsRowCount="1" headerRowDxfId="887" dataDxfId="885" headerRowBorderDxfId="886" tableBorderDxfId="884" totalsRowBorderDxfId="883">
  <autoFilter ref="A2:D6" xr:uid="{A9FD1674-D6E7-45DA-9FDE-95E5B1ED6D2B}">
    <filterColumn colId="0" hiddenButton="1"/>
    <filterColumn colId="1" hiddenButton="1"/>
    <filterColumn colId="2" hiddenButton="1"/>
    <filterColumn colId="3" hiddenButton="1"/>
  </autoFilter>
  <tableColumns count="4">
    <tableColumn id="1" xr3:uid="{A0D8C4FF-3057-4C60-A269-B97BD6B83F73}" name="Candidate Name (Party)" totalsRowLabel="Total Votes by County" dataDxfId="882" totalsRowDxfId="881"/>
    <tableColumn id="4" xr3:uid="{9AA0C870-E701-4820-AA8A-2AE8AF629102}" name="Part of Westchester County Vote Results" totalsRowFunction="custom" dataDxfId="880" totalsRowDxfId="879">
      <totalsRowFormula>SUBTOTAL(109,MemberOfAssemblyAssemblyDistrict89General[Total Votes by Candidate])</totalsRowFormula>
    </tableColumn>
    <tableColumn id="3" xr3:uid="{3E588B28-0FE7-4440-A5A1-1F9AB8EEEB6B}" name="Total Votes by Party" totalsRowFunction="custom" dataDxfId="878" totalsRowDxfId="877">
      <calculatedColumnFormula>MemberOfAssemblyAssemblyDistrict89General[[#This Row],[Part of Westchester County Vote Results]]</calculatedColumnFormula>
      <totalsRowFormula>MemberOfAssemblyAssemblyDistrict88General[[#This Row],[Part of Westchester County Vote Results]]</totalsRowFormula>
    </tableColumn>
    <tableColumn id="2" xr3:uid="{2E0D4AAC-30D1-47C1-AB4B-EA0CE35AD4DB}" name="Total Votes by Candidate" dataDxfId="876" totalsRowDxfId="875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5" xr:uid="{03E20DD4-1BDD-4C46-9225-0C2624C05F4B}" name="MemberOfAssemblyAssemblyDistrict9General" displayName="MemberOfAssemblyAssemblyDistrict9General" ref="A2:E13" totalsRowCount="1" headerRowDxfId="1859" dataDxfId="1857" headerRowBorderDxfId="1858" tableBorderDxfId="1856" totalsRowBorderDxfId="1855">
  <autoFilter ref="A2:E12" xr:uid="{497AA758-8862-490B-A582-CE044EB3C62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C039DB1-1DCD-4A46-82A6-0C4322287469}" name="Candidate Name (Party)" totalsRowLabel="Total Votes by County" dataDxfId="1854" totalsRowDxfId="1853"/>
    <tableColumn id="2" xr3:uid="{730E3936-2855-46F8-B06A-7D9AF7F47E3A}" name="Part of Nassau County Vote Results" totalsRowFunction="sum" dataDxfId="1852" totalsRowDxfId="1851"/>
    <tableColumn id="4" xr3:uid="{780EC229-FF16-4CBA-A536-15E97119F1E7}" name="Part of Suffolk County Vote Results" totalsRowFunction="sum" dataDxfId="1850" totalsRowDxfId="1849"/>
    <tableColumn id="3" xr3:uid="{4D8365BA-2593-45A5-AEE1-831C58848668}" name="Total Votes by Party" dataDxfId="1848">
      <calculatedColumnFormula>SUM(MemberOfAssemblyAssemblyDistrict9General[[#This Row],[Part of Nassau County Vote Results]:[Part of Suffolk County Vote Results]])</calculatedColumnFormula>
    </tableColumn>
    <tableColumn id="5" xr3:uid="{C1DD23AE-7C43-473C-AB4B-44A985AB40C3}" name="Total Votes by Candidate" dataDxfId="1847"/>
  </tableColumns>
  <tableStyleInfo name="TableStyleMedium2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9" xr:uid="{DC80C261-1216-432D-B12E-84C6E7AFC1AE}" name="MemberOfAssemblyAssemblyDistrict90General" displayName="MemberOfAssemblyAssemblyDistrict90General" ref="A2:D14" totalsRowCount="1" headerRowDxfId="874" dataDxfId="872" headerRowBorderDxfId="873" tableBorderDxfId="871" totalsRowBorderDxfId="870">
  <autoFilter ref="A2:D13" xr:uid="{0AD0D9E1-FBC6-45BE-AB9F-3850A5A8348A}">
    <filterColumn colId="0" hiddenButton="1"/>
    <filterColumn colId="1" hiddenButton="1"/>
    <filterColumn colId="2" hiddenButton="1"/>
    <filterColumn colId="3" hiddenButton="1"/>
  </autoFilter>
  <tableColumns count="4">
    <tableColumn id="1" xr3:uid="{70731CFB-ADBD-40F4-8358-9BAFC3A507F3}" name="Candidate Name (Party)" totalsRowLabel="Total Votes by County" dataDxfId="869" totalsRowDxfId="868"/>
    <tableColumn id="4" xr3:uid="{07D612BD-EA37-40E7-9414-BEAC462D7D97}" name="Part of Westchester County Vote Results" totalsRowFunction="custom" dataDxfId="867" totalsRowDxfId="866">
      <totalsRowFormula>SUBTOTAL(109,MemberOfAssemblyAssemblyDistrict90General[Total Votes by Candidate])</totalsRowFormula>
    </tableColumn>
    <tableColumn id="3" xr3:uid="{FB1A23CB-2EB4-4D63-8E4E-384A3865BE7D}" name="Total Votes by Party" dataDxfId="865">
      <calculatedColumnFormula>MemberOfAssemblyAssemblyDistrict90General[[#This Row],[Part of Westchester County Vote Results]]</calculatedColumnFormula>
    </tableColumn>
    <tableColumn id="2" xr3:uid="{26451166-9C47-4C5B-BB4D-79152DD50641}" name="Total Votes by Candidate" dataDxfId="864"/>
  </tableColumns>
  <tableStyleInfo name="TableStyleMedium2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0" xr:uid="{2D749AD0-7A28-4DEE-837E-CE1D3C3BB828}" name="MemberOfAssemblyAssemblyDistrict91General" displayName="MemberOfAssemblyAssemblyDistrict91General" ref="A2:D9" totalsRowCount="1" headerRowDxfId="863" dataDxfId="861" headerRowBorderDxfId="862" tableBorderDxfId="860" totalsRowBorderDxfId="859">
  <autoFilter ref="A2:D8" xr:uid="{839267D8-4641-4BF3-971C-2C7A8148B1D5}">
    <filterColumn colId="0" hiddenButton="1"/>
    <filterColumn colId="1" hiddenButton="1"/>
    <filterColumn colId="2" hiddenButton="1"/>
    <filterColumn colId="3" hiddenButton="1"/>
  </autoFilter>
  <tableColumns count="4">
    <tableColumn id="1" xr3:uid="{B639F6F2-E292-4CEE-9385-CBD6B1C52AB0}" name="Candidate Name (Party)" totalsRowLabel="Total Votes by County" dataDxfId="858" totalsRowDxfId="857"/>
    <tableColumn id="4" xr3:uid="{BB6FE5DC-F968-4D65-A0F6-67A34BDA8C4E}" name="Part of Westchester County Vote Results" totalsRowFunction="custom" dataDxfId="856" totalsRowDxfId="855">
      <totalsRowFormula>SUBTOTAL(109,MemberOfAssemblyAssemblyDistrict91General[Total Votes by Candidate])</totalsRowFormula>
    </tableColumn>
    <tableColumn id="3" xr3:uid="{03CD5ECB-E50C-4E54-8B0E-A2D49D6A0DFA}" name="Total Votes by Party" totalsRowFunction="custom" dataDxfId="854" totalsRowDxfId="853">
      <calculatedColumnFormula>MemberOfAssemblyAssemblyDistrict91General[[#This Row],[Part of Westchester County Vote Results]]</calculatedColumnFormula>
      <totalsRowFormula>MemberOfAssemblyAssemblyDistrict90General[[#This Row],[Part of Westchester County Vote Results]]</totalsRowFormula>
    </tableColumn>
    <tableColumn id="2" xr3:uid="{1C4AC6CF-845A-4FE0-986A-7E15EE61A92D}" name="Total Votes by Candidate" dataDxfId="852" totalsRowDxfId="851"/>
  </tableColumns>
  <tableStyleInfo name="TableStyleMedium2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1" xr:uid="{F2FA2F18-1032-4282-A4DE-B6725ADBB40F}" name="MemberOfAssemblyAssemblyDistrict92General" displayName="MemberOfAssemblyAssemblyDistrict92General" ref="A2:D9" totalsRowCount="1" headerRowDxfId="850" dataDxfId="848" headerRowBorderDxfId="849" tableBorderDxfId="847" totalsRowBorderDxfId="846">
  <autoFilter ref="A2:D8" xr:uid="{10FE8981-0724-4C55-9706-64F4E23666C5}">
    <filterColumn colId="0" hiddenButton="1"/>
    <filterColumn colId="1" hiddenButton="1"/>
    <filterColumn colId="2" hiddenButton="1"/>
    <filterColumn colId="3" hiddenButton="1"/>
  </autoFilter>
  <tableColumns count="4">
    <tableColumn id="1" xr3:uid="{91198543-414A-4A61-BF6A-73644A564CF1}" name="Candidate Name (Party)" totalsRowLabel="Total Votes by County" dataDxfId="845" totalsRowDxfId="844"/>
    <tableColumn id="4" xr3:uid="{EBB6127A-5166-4DBE-A11C-D3CF5B931769}" name="Part of Westchester County Vote Results" totalsRowFunction="custom" dataDxfId="843" totalsRowDxfId="842">
      <totalsRowFormula>SUBTOTAL(109,MemberOfAssemblyAssemblyDistrict92General[Total Votes by Candidate])</totalsRowFormula>
    </tableColumn>
    <tableColumn id="3" xr3:uid="{0B2B7868-F740-4B2E-AB94-48EB06630BDA}" name="Total Votes by Party" totalsRowFunction="custom" dataDxfId="841" totalsRowDxfId="840">
      <calculatedColumnFormula>MemberOfAssemblyAssemblyDistrict92General[[#This Row],[Part of Westchester County Vote Results]]</calculatedColumnFormula>
      <totalsRowFormula>MemberOfAssemblyAssemblyDistrict90General[[#This Row],[Part of Westchester County Vote Results]]</totalsRowFormula>
    </tableColumn>
    <tableColumn id="2" xr3:uid="{7A5D68CB-580E-4C60-9E64-921C3D0C5B4D}" name="Total Votes by Candidate" dataDxfId="839" totalsRowDxfId="838"/>
  </tableColumns>
  <tableStyleInfo name="TableStyleMedium2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2" xr:uid="{9480A371-3F39-4BF4-B84A-2707CAF9E164}" name="MemberOfAssemblyAssemblyDistrict93General" displayName="MemberOfAssemblyAssemblyDistrict93General" ref="A2:D13" totalsRowCount="1" headerRowDxfId="837" dataDxfId="835" headerRowBorderDxfId="836" tableBorderDxfId="834" totalsRowBorderDxfId="833">
  <autoFilter ref="A2:D12" xr:uid="{D55BDE7E-2331-4939-833D-ACA4034F7547}">
    <filterColumn colId="0" hiddenButton="1"/>
    <filterColumn colId="1" hiddenButton="1"/>
    <filterColumn colId="2" hiddenButton="1"/>
    <filterColumn colId="3" hiddenButton="1"/>
  </autoFilter>
  <tableColumns count="4">
    <tableColumn id="1" xr3:uid="{51304B78-5BD7-4066-A8D9-A81C9E7C110C}" name="Candidate Name (Party)" totalsRowLabel="Total Votes by County" dataDxfId="832" totalsRowDxfId="831"/>
    <tableColumn id="4" xr3:uid="{9DB6FD3F-B674-413C-AEA4-B63EA5207B33}" name="Part of Westchester County Vote Results" totalsRowFunction="custom" dataDxfId="830" totalsRowDxfId="829">
      <totalsRowFormula>SUBTOTAL(109,MemberOfAssemblyAssemblyDistrict93General[Total Votes by Candidate])</totalsRowFormula>
    </tableColumn>
    <tableColumn id="3" xr3:uid="{EF1117D7-8980-420C-850F-E20B7C77C321}" name="Total Votes by Party" dataDxfId="828">
      <calculatedColumnFormula>MemberOfAssemblyAssemblyDistrict93General[[#This Row],[Part of Westchester County Vote Results]]</calculatedColumnFormula>
    </tableColumn>
    <tableColumn id="2" xr3:uid="{C5BDE755-B52C-47C0-8877-C5A1C07FF816}" name="Total Votes by Candidate" dataDxfId="827"/>
  </tableColumns>
  <tableStyleInfo name="TableStyleMedium2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3" xr:uid="{FBABD601-BB6E-46AF-A074-032A174B8801}" name="MemberOfAssemblyAssemblyDistrict94General" displayName="MemberOfAssemblyAssemblyDistrict94General" ref="A2:E13" totalsRowCount="1" headerRowDxfId="826" dataDxfId="824" headerRowBorderDxfId="825" tableBorderDxfId="823" totalsRowBorderDxfId="822">
  <autoFilter ref="A2:E12" xr:uid="{DED7A81C-DF94-495E-BD4D-90CA609028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1A76C6-BE57-4061-AB70-77AC389D547C}" name="Candidate Name (Party)" totalsRowLabel="Total Votes by County" dataDxfId="821" totalsRowDxfId="820"/>
    <tableColumn id="2" xr3:uid="{C015B1BE-C077-421A-864D-7D8DF461BFD2}" name="Part of Putnam County Vote Results" totalsRowFunction="sum" dataDxfId="819" totalsRowDxfId="818"/>
    <tableColumn id="4" xr3:uid="{5AD9B8E5-914B-4110-ACF0-1040C8E326E2}" name="Part of Westchester County Vote Results" totalsRowFunction="sum" dataDxfId="817" totalsRowDxfId="816"/>
    <tableColumn id="3" xr3:uid="{2B9C0DB7-2F2D-4715-9A32-730A1E492888}" name="Total Votes by Party" dataDxfId="815">
      <calculatedColumnFormula>SUM(MemberOfAssemblyAssemblyDistrict94General[[#This Row],[Part of Putnam County Vote Results]:[Part of Westchester County Vote Results]])</calculatedColumnFormula>
    </tableColumn>
    <tableColumn id="5" xr3:uid="{2EF70F7A-6209-4653-B1E8-5EE903ED0E02}" name="Total Votes by Candidate" dataDxfId="814"/>
  </tableColumns>
  <tableStyleInfo name="TableStyleMedium2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4" xr:uid="{40248B98-4E46-4AEE-B5D4-28DA51932512}" name="MemberOfAssemblyAssemblyDistrict95General" displayName="MemberOfAssemblyAssemblyDistrict95General" ref="A2:E12" totalsRowCount="1" headerRowDxfId="813" dataDxfId="811" headerRowBorderDxfId="812" tableBorderDxfId="810" totalsRowBorderDxfId="809">
  <autoFilter ref="A2:E11" xr:uid="{6D7F6935-EB82-47B3-81C1-C37CF71DBB0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96563D-8653-4DC6-8887-51192179016B}" name="Candidate Name (Party)" totalsRowLabel="Total Votes by County" dataDxfId="808" totalsRowDxfId="807"/>
    <tableColumn id="2" xr3:uid="{9BF40CD4-C2DC-47E2-A966-036B95DCCEC6}" name="Part of Putnam County Vote Results" totalsRowFunction="sum" dataDxfId="806" totalsRowDxfId="805"/>
    <tableColumn id="4" xr3:uid="{690150D7-8977-4AA2-B643-6B7A9FF66C5B}" name="Part of Westchester County Vote Results" totalsRowFunction="sum" dataDxfId="804" totalsRowDxfId="803"/>
    <tableColumn id="3" xr3:uid="{03114B0F-2FD7-4C3D-B2BC-EA7C6AF1D352}" name="Total Votes by Party" totalsRowFunction="custom" dataDxfId="802" totalsRowDxfId="801">
      <calculatedColumnFormula>SUM(MemberOfAssemblyAssemblyDistrict95General[[#This Row],[Part of Putnam County Vote Results]:[Part of Westchester County Vote Results]])</calculatedColumnFormula>
      <totalsRowFormula>SUM(MemberOfAssemblyAssemblyDistrict94General[[#This Row],[Part of Putnam County Vote Results]:[Part of Westchester County Vote Results]])</totalsRowFormula>
    </tableColumn>
    <tableColumn id="5" xr3:uid="{5908EB49-7FA7-44D2-9983-BCF19B94052D}" name="Total Votes by Candidate" dataDxfId="800" totalsRowDxfId="799"/>
  </tableColumns>
  <tableStyleInfo name="TableStyleMedium2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5" xr:uid="{4FC1DBB0-AB6A-4CFC-8A16-F562354D30A6}" name="MemberOfAssemblyAssemblyDistrict96General" displayName="MemberOfAssemblyAssemblyDistrict96General" ref="A2:D10" totalsRowCount="1" headerRowDxfId="798" dataDxfId="796" headerRowBorderDxfId="797" tableBorderDxfId="795" totalsRowBorderDxfId="794">
  <autoFilter ref="A2:D9" xr:uid="{371FD33B-E0F1-4828-9D45-F6A7C6042C07}">
    <filterColumn colId="0" hiddenButton="1"/>
    <filterColumn colId="1" hiddenButton="1"/>
    <filterColumn colId="2" hiddenButton="1"/>
    <filterColumn colId="3" hiddenButton="1"/>
  </autoFilter>
  <tableColumns count="4">
    <tableColumn id="1" xr3:uid="{CB2D977A-FD00-43BA-8201-89AF6144277F}" name="Candidate Name (Party)" totalsRowLabel="Total Votes by County" dataDxfId="793" totalsRowDxfId="792"/>
    <tableColumn id="4" xr3:uid="{9E8476BB-C26C-485C-A1BA-E2FFF25C4176}" name="Part of Rockland County Vote Results" totalsRowFunction="custom" dataDxfId="791" totalsRowDxfId="790">
      <totalsRowFormula>SUBTOTAL(109,MemberOfAssemblyAssemblyDistrict96General[Total Votes by Candidate])</totalsRowFormula>
    </tableColumn>
    <tableColumn id="3" xr3:uid="{0A8ECCD3-FA7C-4410-8CED-7220757E4B3D}" name="Total Votes by Party" totalsRowFunction="custom" dataDxfId="789" totalsRowDxfId="788">
      <calculatedColumnFormula>MemberOfAssemblyAssemblyDistrict96General[[#This Row],[Part of Rockland County Vote Results]]</calculatedColumnFormula>
      <totalsRowFormula>SUM(MemberOfAssemblyAssemblyDistrict95General[[#This Row],[Part of Putnam County Vote Results]:[Part of Westchester County Vote Results]])</totalsRowFormula>
    </tableColumn>
    <tableColumn id="2" xr3:uid="{0B02CA45-FC27-405E-AE9F-620B2C581D1A}" name="Total Votes by Candidate" dataDxfId="787" totalsRowDxfId="786"/>
  </tableColumns>
  <tableStyleInfo name="TableStyleMedium2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6" xr:uid="{C8E1EF8A-D831-435B-9B03-801BA53B742C}" name="MemberOfAssemblyAssemblyDistrict97General" displayName="MemberOfAssemblyAssemblyDistrict97General" ref="A2:D12" totalsRowCount="1" headerRowDxfId="785" dataDxfId="783" headerRowBorderDxfId="784" tableBorderDxfId="782" totalsRowBorderDxfId="781">
  <autoFilter ref="A2:D11" xr:uid="{97B32511-51F3-4A1E-A166-F3369638BE7F}">
    <filterColumn colId="0" hiddenButton="1"/>
    <filterColumn colId="1" hiddenButton="1"/>
    <filterColumn colId="2" hiddenButton="1"/>
    <filterColumn colId="3" hiddenButton="1"/>
  </autoFilter>
  <tableColumns count="4">
    <tableColumn id="1" xr3:uid="{8A8C88DA-81C3-4423-A4A1-5101AFFBCF6A}" name="Candidate Name (Party)" totalsRowLabel="Total Votes by County" dataDxfId="780" totalsRowDxfId="779"/>
    <tableColumn id="4" xr3:uid="{17202AFB-2430-496B-A04B-29C6A342CF61}" name="Part of Rockland County Vote Results" totalsRowFunction="custom" dataDxfId="778" totalsRowDxfId="777">
      <totalsRowFormula>SUBTOTAL(109,MemberOfAssemblyAssemblyDistrict97General[Total Votes by Candidate])</totalsRowFormula>
    </tableColumn>
    <tableColumn id="3" xr3:uid="{4D244671-3A78-4652-850F-F3F2EE71CA65}" name="Total Votes by Party" dataDxfId="776">
      <calculatedColumnFormula>MemberOfAssemblyAssemblyDistrict97General[[#This Row],[Part of Rockland County Vote Results]]</calculatedColumnFormula>
    </tableColumn>
    <tableColumn id="2" xr3:uid="{91BAF986-A24C-4FF8-97DE-A84A63C51F56}" name="Total Votes by Candidate" dataDxfId="775"/>
  </tableColumns>
  <tableStyleInfo name="TableStyleMedium2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7" xr:uid="{02CDBE6E-59F2-43B0-8737-EEAF6AF30290}" name="MemberOfAssemblyAssemblyDistrict98General" displayName="MemberOfAssemblyAssemblyDistrict98General" ref="A2:E13" totalsRowCount="1" headerRowDxfId="774" dataDxfId="772" headerRowBorderDxfId="773" tableBorderDxfId="771" totalsRowBorderDxfId="770">
  <autoFilter ref="A2:E12" xr:uid="{50755AB1-F623-4EC1-9E7E-CC0ED57A25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7D5B61-6DBE-4719-AEC9-CAC280811D52}" name="Candidate Name (Party)" totalsRowLabel="Total Votes by County" dataDxfId="769" totalsRowDxfId="768"/>
    <tableColumn id="2" xr3:uid="{8DCE4F82-902C-4DAF-A50E-939A4D51C23C}" name="Part of Orange County Vote Results" totalsRowFunction="sum" dataDxfId="767" totalsRowDxfId="766"/>
    <tableColumn id="4" xr3:uid="{211A07DE-5E03-4A13-8963-7233C0D08553}" name="Part of Rockland County Vote Results" totalsRowFunction="sum" dataDxfId="765" totalsRowDxfId="764"/>
    <tableColumn id="3" xr3:uid="{7DC04A6D-7AB1-4C51-A913-6688C6B8682D}" name="Total Votes by Party" dataDxfId="763">
      <calculatedColumnFormula>SUM(MemberOfAssemblyAssemblyDistrict98General[[#This Row],[Part of Orange County Vote Results]:[Part of Rockland County Vote Results]])</calculatedColumnFormula>
    </tableColumn>
    <tableColumn id="5" xr3:uid="{440B8255-D250-4947-8F14-39C47FBA6003}" name="Total Votes by Candidate" dataDxfId="762"/>
  </tableColumns>
  <tableStyleInfo name="TableStyleMedium2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8" xr:uid="{8B994E3C-41FB-4E2D-A21F-1A017995B580}" name="MemberOfAssemblyAssemblyDistrict99General" displayName="MemberOfAssemblyAssemblyDistrict99General" ref="A2:E13" totalsRowCount="1" headerRowDxfId="761" dataDxfId="759" headerRowBorderDxfId="760" tableBorderDxfId="758" totalsRowBorderDxfId="757">
  <autoFilter ref="A2:E12" xr:uid="{7954D400-A973-4CA4-A173-A394218CD0D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AC3EF11-FF70-4E21-8323-78F2B1862668}" name="Candidate Name (Party)" totalsRowLabel="Total Votes by County" dataDxfId="756" totalsRowDxfId="755"/>
    <tableColumn id="2" xr3:uid="{79720CCE-82F4-44FA-BF93-95C2F96A066B}" name="Part of Orange County Vote Results" totalsRowFunction="sum" dataDxfId="754" totalsRowDxfId="753"/>
    <tableColumn id="4" xr3:uid="{E9C7A8F3-513E-42AD-8AEA-C493F74A775F}" name="Part of Rockland County Vote Results" totalsRowFunction="sum" dataDxfId="752" totalsRowDxfId="751"/>
    <tableColumn id="3" xr3:uid="{972CA9B4-1A63-4DB8-9BDC-AA8BDD68A9ED}" name="Total Votes by Party" dataDxfId="750">
      <calculatedColumnFormula>SUM(MemberOfAssemblyAssemblyDistrict99General[[#This Row],[Part of Orange County Vote Results]:[Part of Rockland County Vote Results]])</calculatedColumnFormula>
    </tableColumn>
    <tableColumn id="5" xr3:uid="{1DD93F5D-3BCC-4953-9CE0-D502B4C43FB8}" name="Total Votes by Candidate" dataDxfId="749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6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7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9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0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1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2.x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3.x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4.xml"/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5.xml"/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6.x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7.x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8.x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9.x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0.xml"/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1.xml"/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2.xml"/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3.xml"/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4.xml"/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5.xml"/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6.xml"/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7.xml"/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8.xml"/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9.xml"/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0.xml"/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1.xml"/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2.xml"/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3.xml"/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4.xml"/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5.xml"/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6.xml"/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7.xml"/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8.xml"/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9.xml"/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0.xml"/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1.xml"/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2.xml"/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3.xml"/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4.xml"/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5.xml"/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6.xml"/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7.xml"/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8.xml"/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9.xml"/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0.xml"/><Relationship Id="rId1" Type="http://schemas.openxmlformats.org/officeDocument/2006/relationships/printerSettings" Target="../printerSettings/printerSettings15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3"/>
  <sheetViews>
    <sheetView tabSelected="1" zoomScaleNormal="100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68</v>
      </c>
    </row>
    <row r="2" spans="1:4" ht="24.95" customHeight="1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69</v>
      </c>
      <c r="B3" s="3">
        <v>29166</v>
      </c>
      <c r="C3" s="11">
        <f>MemberOfAssemblyAssemblyDistrict1General[[#This Row],[Part of Suffolk County Vote Results]]</f>
        <v>29166</v>
      </c>
      <c r="D3" s="12">
        <f>SUM(MemberOfAssemblyAssemblyDistrict1General[[#This Row],[Total Votes by Party]],C6,C7,C8,C9)</f>
        <v>31961</v>
      </c>
    </row>
    <row r="4" spans="1:4" x14ac:dyDescent="0.2">
      <c r="A4" s="2" t="s">
        <v>70</v>
      </c>
      <c r="B4" s="3">
        <v>17818</v>
      </c>
      <c r="C4" s="11">
        <f>MemberOfAssemblyAssemblyDistrict1General[[#This Row],[Part of Suffolk County Vote Results]]</f>
        <v>17818</v>
      </c>
      <c r="D4" s="12">
        <f>SUM(MemberOfAssemblyAssemblyDistrict1General[[#This Row],[Total Votes by Party]],C5)</f>
        <v>19953</v>
      </c>
    </row>
    <row r="5" spans="1:4" x14ac:dyDescent="0.2">
      <c r="A5" s="2" t="s">
        <v>71</v>
      </c>
      <c r="B5" s="3">
        <v>2135</v>
      </c>
      <c r="C5" s="11">
        <f>MemberOfAssemblyAssemblyDistrict1General[[#This Row],[Part of Suffolk County Vote Results]]</f>
        <v>2135</v>
      </c>
      <c r="D5" s="13"/>
    </row>
    <row r="6" spans="1:4" x14ac:dyDescent="0.2">
      <c r="A6" s="2" t="s">
        <v>72</v>
      </c>
      <c r="B6" s="3">
        <v>872</v>
      </c>
      <c r="C6" s="11">
        <f>MemberOfAssemblyAssemblyDistrict1General[[#This Row],[Part of Suffolk County Vote Results]]</f>
        <v>872</v>
      </c>
      <c r="D6" s="13"/>
    </row>
    <row r="7" spans="1:4" x14ac:dyDescent="0.2">
      <c r="A7" s="2" t="s">
        <v>73</v>
      </c>
      <c r="B7" s="3">
        <v>1493</v>
      </c>
      <c r="C7" s="11">
        <f>MemberOfAssemblyAssemblyDistrict1General[[#This Row],[Part of Suffolk County Vote Results]]</f>
        <v>1493</v>
      </c>
      <c r="D7" s="13"/>
    </row>
    <row r="8" spans="1:4" x14ac:dyDescent="0.2">
      <c r="A8" s="2" t="s">
        <v>74</v>
      </c>
      <c r="B8" s="3">
        <v>333</v>
      </c>
      <c r="C8" s="11">
        <f>MemberOfAssemblyAssemblyDistrict1General[[#This Row],[Part of Suffolk County Vote Results]]</f>
        <v>333</v>
      </c>
      <c r="D8" s="13"/>
    </row>
    <row r="9" spans="1:4" x14ac:dyDescent="0.2">
      <c r="A9" s="2" t="s">
        <v>75</v>
      </c>
      <c r="B9" s="3">
        <v>97</v>
      </c>
      <c r="C9" s="11">
        <f>MemberOfAssemblyAssemblyDistrict1General[[#This Row],[Part of Suffolk County Vote Results]]</f>
        <v>97</v>
      </c>
      <c r="D9" s="13"/>
    </row>
    <row r="10" spans="1:4" x14ac:dyDescent="0.2">
      <c r="A10" s="4" t="s">
        <v>0</v>
      </c>
      <c r="B10" s="5">
        <v>1649</v>
      </c>
      <c r="C10" s="11">
        <f>MemberOfAssemblyAssemblyDistrict1General[[#This Row],[Part of Suffolk County Vote Results]]</f>
        <v>1649</v>
      </c>
      <c r="D10" s="13"/>
    </row>
    <row r="11" spans="1:4" x14ac:dyDescent="0.2">
      <c r="A11" s="4" t="s">
        <v>1</v>
      </c>
      <c r="B11" s="5">
        <v>18</v>
      </c>
      <c r="C11" s="11">
        <f>MemberOfAssemblyAssemblyDistrict1General[[#This Row],[Part of Suffolk County Vote Results]]</f>
        <v>18</v>
      </c>
      <c r="D11" s="13"/>
    </row>
    <row r="12" spans="1:4" x14ac:dyDescent="0.2">
      <c r="A12" s="4" t="s">
        <v>2</v>
      </c>
      <c r="B12" s="5">
        <v>9</v>
      </c>
      <c r="C12" s="11">
        <f>MemberOfAssemblyAssemblyDistrict1General[[#This Row],[Part of Suffolk County Vote Results]]</f>
        <v>9</v>
      </c>
      <c r="D12" s="13"/>
    </row>
    <row r="13" spans="1:4" hidden="1" x14ac:dyDescent="0.2">
      <c r="A13" s="4" t="s">
        <v>3</v>
      </c>
      <c r="B13" s="6">
        <f>SUBTOTAL(109,MemberOfAssemblyAssemblyDistrict1General[Total Votes by Candidate])</f>
        <v>51914</v>
      </c>
    </row>
  </sheetData>
  <phoneticPr fontId="1" type="noConversion"/>
  <pageMargins left="0.5" right="0.5" top="0.25" bottom="0.25" header="0.25" footer="0.25"/>
  <pageSetup paperSize="5" scale="78" fitToHeight="0" orientation="landscape" r:id="rId1"/>
  <headerFooter alignWithMargins="0">
    <oddFooter xml:space="preserve">&amp;RPage &amp;P of &amp;N   </oddFooter>
  </headerFooter>
  <rowBreaks count="34" manualBreakCount="34">
    <brk id="43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  <brk id="405" max="16383" man="1"/>
    <brk id="450" max="16383" man="1"/>
    <brk id="495" max="16383" man="1"/>
    <brk id="540" max="16383" man="1"/>
    <brk id="578" max="16383" man="1"/>
    <brk id="623" max="16383" man="1"/>
    <brk id="668" max="16383" man="1"/>
    <brk id="713" max="16383" man="1"/>
    <brk id="758" max="16383" man="1"/>
    <brk id="803" max="16383" man="1"/>
    <brk id="839" max="16383" man="1"/>
    <brk id="879" max="16383" man="1"/>
    <brk id="928" max="16383" man="1"/>
    <brk id="976" max="16383" man="1"/>
    <brk id="1011" max="16383" man="1"/>
    <brk id="1054" max="16383" man="1"/>
    <brk id="1101" max="16383" man="1"/>
    <brk id="1139" max="16383" man="1"/>
    <brk id="1185" max="16383" man="1"/>
    <brk id="1221" max="16383" man="1"/>
    <brk id="1260" max="16383" man="1"/>
    <brk id="1307" max="16383" man="1"/>
    <brk id="1343" max="16383" man="1"/>
    <brk id="1384" max="16383" man="1"/>
    <brk id="1427" max="16383" man="1"/>
    <brk id="1468" max="12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E795-63A8-46D5-BBC2-61D78B0B1361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127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128</v>
      </c>
      <c r="B3" s="3">
        <v>26935</v>
      </c>
      <c r="C3" s="11">
        <f>MemberOfAssemblyAssemblyDistrict10General[[#This Row],[Part of Suffolk County Vote Results]]</f>
        <v>26935</v>
      </c>
      <c r="D3" s="12">
        <f>SUM(MemberOfAssemblyAssemblyDistrict10General[[#This Row],[Total Votes by Party]],C6,C7,C8)</f>
        <v>28559</v>
      </c>
    </row>
    <row r="4" spans="1:4" x14ac:dyDescent="0.2">
      <c r="A4" s="2" t="s">
        <v>129</v>
      </c>
      <c r="B4" s="3">
        <v>17129</v>
      </c>
      <c r="C4" s="11">
        <f>MemberOfAssemblyAssemblyDistrict10General[[#This Row],[Part of Suffolk County Vote Results]]</f>
        <v>17129</v>
      </c>
      <c r="D4" s="12">
        <f>SUM(MemberOfAssemblyAssemblyDistrict10General[[#This Row],[Total Votes by Party]],C5)</f>
        <v>19135</v>
      </c>
    </row>
    <row r="5" spans="1:4" x14ac:dyDescent="0.2">
      <c r="A5" s="2" t="s">
        <v>130</v>
      </c>
      <c r="B5" s="3">
        <v>2006</v>
      </c>
      <c r="C5" s="11">
        <f>MemberOfAssemblyAssemblyDistrict10General[[#This Row],[Part of Suffolk County Vote Results]]</f>
        <v>2006</v>
      </c>
      <c r="D5" s="13"/>
    </row>
    <row r="6" spans="1:4" x14ac:dyDescent="0.2">
      <c r="A6" s="2" t="s">
        <v>131</v>
      </c>
      <c r="B6" s="3">
        <v>613</v>
      </c>
      <c r="C6" s="11">
        <f>MemberOfAssemblyAssemblyDistrict10General[[#This Row],[Part of Suffolk County Vote Results]]</f>
        <v>613</v>
      </c>
      <c r="D6" s="13"/>
    </row>
    <row r="7" spans="1:4" x14ac:dyDescent="0.2">
      <c r="A7" s="2" t="s">
        <v>132</v>
      </c>
      <c r="B7" s="3">
        <v>699</v>
      </c>
      <c r="C7" s="11">
        <f>MemberOfAssemblyAssemblyDistrict10General[[#This Row],[Part of Suffolk County Vote Results]]</f>
        <v>699</v>
      </c>
      <c r="D7" s="13"/>
    </row>
    <row r="8" spans="1:4" x14ac:dyDescent="0.2">
      <c r="A8" s="2" t="s">
        <v>133</v>
      </c>
      <c r="B8" s="3">
        <v>312</v>
      </c>
      <c r="C8" s="11">
        <f>MemberOfAssemblyAssemblyDistrict10General[[#This Row],[Part of Suffolk County Vote Results]]</f>
        <v>312</v>
      </c>
      <c r="D8" s="13"/>
    </row>
    <row r="9" spans="1:4" x14ac:dyDescent="0.2">
      <c r="A9" s="4" t="s">
        <v>0</v>
      </c>
      <c r="B9" s="5">
        <v>1385</v>
      </c>
      <c r="C9" s="11">
        <f>MemberOfAssemblyAssemblyDistrict10General[[#This Row],[Part of Suffolk County Vote Results]]</f>
        <v>1385</v>
      </c>
      <c r="D9" s="13"/>
    </row>
    <row r="10" spans="1:4" x14ac:dyDescent="0.2">
      <c r="A10" s="4" t="s">
        <v>1</v>
      </c>
      <c r="B10" s="5">
        <v>11</v>
      </c>
      <c r="C10" s="11">
        <f>MemberOfAssemblyAssemblyDistrict10General[[#This Row],[Part of Suffolk County Vote Results]]</f>
        <v>11</v>
      </c>
      <c r="D10" s="13"/>
    </row>
    <row r="11" spans="1:4" x14ac:dyDescent="0.2">
      <c r="A11" s="4" t="s">
        <v>2</v>
      </c>
      <c r="B11" s="5">
        <v>6</v>
      </c>
      <c r="C11" s="11">
        <f>MemberOfAssemblyAssemblyDistrict10General[[#This Row],[Part of Suffolk County Vote Results]]</f>
        <v>6</v>
      </c>
      <c r="D11" s="13"/>
    </row>
    <row r="12" spans="1:4" hidden="1" x14ac:dyDescent="0.2">
      <c r="A12" s="4" t="s">
        <v>3</v>
      </c>
      <c r="B12" s="6">
        <f>SUBTOTAL(109,MemberOfAssemblyAssemblyDistrict10General[Total Votes by Candidate])</f>
        <v>47694</v>
      </c>
      <c r="C12" s="11">
        <f>SUM(MemberOfAssemblyAssemblyDistrict9General[[#This Row],[Part of Nassau County Vote Results]:[Part of Suffolk County Vote Results]])</f>
        <v>6</v>
      </c>
      <c r="D12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03EC-B9C3-4BA8-818D-2D01A3D7EDA8}">
  <sheetPr>
    <pageSetUpPr fitToPage="1"/>
  </sheetPr>
  <dimension ref="A1:E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565</v>
      </c>
    </row>
    <row r="2" spans="1:5" ht="25.5" x14ac:dyDescent="0.2">
      <c r="A2" s="7" t="s">
        <v>5</v>
      </c>
      <c r="B2" s="8" t="s">
        <v>16</v>
      </c>
      <c r="C2" s="8" t="s">
        <v>17</v>
      </c>
      <c r="D2" s="9" t="s">
        <v>869</v>
      </c>
      <c r="E2" s="10" t="s">
        <v>4</v>
      </c>
    </row>
    <row r="3" spans="1:5" x14ac:dyDescent="0.2">
      <c r="A3" s="2" t="s">
        <v>566</v>
      </c>
      <c r="B3" s="3">
        <v>10475</v>
      </c>
      <c r="C3" s="3">
        <v>12712</v>
      </c>
      <c r="D3" s="11">
        <f>SUM(MemberOfAssemblyAssemblyDistrict100General[[#This Row],[Part of Orange County Vote Results]:[Part of Sullivan County Vote Results]])</f>
        <v>23187</v>
      </c>
      <c r="E3" s="12">
        <f>SUM(D3:D5)</f>
        <v>27347</v>
      </c>
    </row>
    <row r="4" spans="1:5" x14ac:dyDescent="0.2">
      <c r="A4" s="2" t="s">
        <v>567</v>
      </c>
      <c r="B4" s="3">
        <v>561</v>
      </c>
      <c r="C4" s="3">
        <v>1579</v>
      </c>
      <c r="D4" s="11">
        <f>SUM(MemberOfAssemblyAssemblyDistrict100General[[#This Row],[Part of Orange County Vote Results]:[Part of Sullivan County Vote Results]])</f>
        <v>2140</v>
      </c>
      <c r="E4" s="13"/>
    </row>
    <row r="5" spans="1:5" x14ac:dyDescent="0.2">
      <c r="A5" s="2" t="s">
        <v>568</v>
      </c>
      <c r="B5" s="3">
        <v>564</v>
      </c>
      <c r="C5" s="3">
        <v>1456</v>
      </c>
      <c r="D5" s="11">
        <f>SUM(MemberOfAssemblyAssemblyDistrict100General[[#This Row],[Part of Orange County Vote Results]:[Part of Sullivan County Vote Results]])</f>
        <v>2020</v>
      </c>
      <c r="E5" s="13"/>
    </row>
    <row r="6" spans="1:5" x14ac:dyDescent="0.2">
      <c r="A6" s="4" t="s">
        <v>0</v>
      </c>
      <c r="B6" s="3">
        <v>6074</v>
      </c>
      <c r="C6" s="3">
        <v>8113</v>
      </c>
      <c r="D6" s="11">
        <f>SUM(MemberOfAssemblyAssemblyDistrict100General[[#This Row],[Part of Orange County Vote Results]:[Part of Sullivan County Vote Results]])</f>
        <v>14187</v>
      </c>
      <c r="E6" s="13"/>
    </row>
    <row r="7" spans="1:5" x14ac:dyDescent="0.2">
      <c r="A7" s="4" t="s">
        <v>1</v>
      </c>
      <c r="B7" s="3">
        <v>0</v>
      </c>
      <c r="C7" s="3">
        <v>12</v>
      </c>
      <c r="D7" s="11">
        <f>SUM(MemberOfAssemblyAssemblyDistrict100General[[#This Row],[Part of Orange County Vote Results]:[Part of Sullivan County Vote Results]])</f>
        <v>12</v>
      </c>
      <c r="E7" s="13"/>
    </row>
    <row r="8" spans="1:5" x14ac:dyDescent="0.2">
      <c r="A8" s="4" t="s">
        <v>2</v>
      </c>
      <c r="B8" s="5">
        <v>47</v>
      </c>
      <c r="C8" s="5">
        <v>112</v>
      </c>
      <c r="D8" s="11">
        <f>SUM(MemberOfAssemblyAssemblyDistrict100General[[#This Row],[Part of Orange County Vote Results]:[Part of Sullivan County Vote Results]])</f>
        <v>159</v>
      </c>
      <c r="E8" s="13"/>
    </row>
    <row r="9" spans="1:5" hidden="1" x14ac:dyDescent="0.2">
      <c r="A9" s="4" t="s">
        <v>3</v>
      </c>
      <c r="B9" s="6">
        <f>SUBTOTAL(109,MemberOfAssemblyAssemblyDistrict100General[Part of Orange County Vote Results])</f>
        <v>17721</v>
      </c>
      <c r="C9" s="6">
        <f>SUBTOTAL(109,MemberOfAssemblyAssemblyDistrict100General[Part of Sullivan County Vote Results])</f>
        <v>23984</v>
      </c>
      <c r="D9" s="11">
        <f>SUM(MemberOfAssemblyAssemblyDistrict99General[[#This Row],[Part of Orange County Vote Results]:[Part of Rockland County Vote Results]])</f>
        <v>436</v>
      </c>
      <c r="E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ECCB-A6FE-4EE5-82E6-F0283B5FE2B1}">
  <sheetPr>
    <pageSetUpPr fitToPage="1"/>
  </sheetPr>
  <dimension ref="A1:J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18.75" x14ac:dyDescent="0.2">
      <c r="A1" s="1" t="s">
        <v>569</v>
      </c>
    </row>
    <row r="2" spans="1:10" ht="25.5" x14ac:dyDescent="0.2">
      <c r="A2" s="7" t="s">
        <v>5</v>
      </c>
      <c r="B2" s="8" t="s">
        <v>18</v>
      </c>
      <c r="C2" s="8" t="s">
        <v>19</v>
      </c>
      <c r="D2" s="8" t="s">
        <v>20</v>
      </c>
      <c r="E2" s="8" t="s">
        <v>16</v>
      </c>
      <c r="F2" s="8" t="s">
        <v>21</v>
      </c>
      <c r="G2" s="8" t="s">
        <v>17</v>
      </c>
      <c r="H2" s="8" t="s">
        <v>22</v>
      </c>
      <c r="I2" s="9" t="s">
        <v>869</v>
      </c>
      <c r="J2" s="10" t="s">
        <v>4</v>
      </c>
    </row>
    <row r="3" spans="1:10" x14ac:dyDescent="0.2">
      <c r="A3" s="2" t="s">
        <v>570</v>
      </c>
      <c r="B3" s="3">
        <v>1924</v>
      </c>
      <c r="C3" s="3">
        <v>2812</v>
      </c>
      <c r="D3" s="3">
        <v>512</v>
      </c>
      <c r="E3" s="3">
        <v>4353</v>
      </c>
      <c r="F3" s="3">
        <v>1090</v>
      </c>
      <c r="G3" s="3">
        <v>493</v>
      </c>
      <c r="H3" s="3">
        <v>3412</v>
      </c>
      <c r="I3" s="11">
        <f>SUM(MemberOfAssemblyAssemblyDistrict101General[[#This Row],[Part of Delaware County Vote Results]:[Part of Ulster County Vote Results]])</f>
        <v>14596</v>
      </c>
      <c r="J3" s="12">
        <f>SUM(MemberOfAssemblyAssemblyDistrict101General[[#This Row],[Total Votes by Party]],I6,I8)</f>
        <v>15651</v>
      </c>
    </row>
    <row r="4" spans="1:10" x14ac:dyDescent="0.2">
      <c r="A4" s="2" t="s">
        <v>571</v>
      </c>
      <c r="B4" s="3">
        <v>2240</v>
      </c>
      <c r="C4" s="3">
        <v>4718</v>
      </c>
      <c r="D4" s="3">
        <v>1102</v>
      </c>
      <c r="E4" s="3">
        <v>5444</v>
      </c>
      <c r="F4" s="3">
        <v>1196</v>
      </c>
      <c r="G4" s="3">
        <v>795</v>
      </c>
      <c r="H4" s="3">
        <v>3784</v>
      </c>
      <c r="I4" s="11">
        <f>SUM(MemberOfAssemblyAssemblyDistrict101General[[#This Row],[Part of Delaware County Vote Results]:[Part of Ulster County Vote Results]])</f>
        <v>19279</v>
      </c>
      <c r="J4" s="12">
        <f>SUM(I4:I5,I7,I9)</f>
        <v>22288</v>
      </c>
    </row>
    <row r="5" spans="1:10" x14ac:dyDescent="0.2">
      <c r="A5" s="2" t="s">
        <v>572</v>
      </c>
      <c r="B5" s="3">
        <v>203</v>
      </c>
      <c r="C5" s="3">
        <v>477</v>
      </c>
      <c r="D5" s="3">
        <v>154</v>
      </c>
      <c r="E5" s="3">
        <v>766</v>
      </c>
      <c r="F5" s="3">
        <v>105</v>
      </c>
      <c r="G5" s="3">
        <v>114</v>
      </c>
      <c r="H5" s="3">
        <v>513</v>
      </c>
      <c r="I5" s="11">
        <f>SUM(MemberOfAssemblyAssemblyDistrict101General[[#This Row],[Part of Delaware County Vote Results]:[Part of Ulster County Vote Results]])</f>
        <v>2332</v>
      </c>
      <c r="J5" s="13"/>
    </row>
    <row r="6" spans="1:10" x14ac:dyDescent="0.2">
      <c r="A6" s="2" t="s">
        <v>573</v>
      </c>
      <c r="B6" s="3">
        <v>102</v>
      </c>
      <c r="C6" s="3">
        <v>114</v>
      </c>
      <c r="D6" s="3">
        <v>19</v>
      </c>
      <c r="E6" s="3">
        <v>165</v>
      </c>
      <c r="F6" s="3">
        <v>61</v>
      </c>
      <c r="G6" s="3">
        <v>27</v>
      </c>
      <c r="H6" s="3">
        <v>238</v>
      </c>
      <c r="I6" s="11">
        <f>SUM(MemberOfAssemblyAssemblyDistrict101General[[#This Row],[Part of Delaware County Vote Results]:[Part of Ulster County Vote Results]])</f>
        <v>726</v>
      </c>
      <c r="J6" s="13"/>
    </row>
    <row r="7" spans="1:10" x14ac:dyDescent="0.2">
      <c r="A7" s="2" t="s">
        <v>574</v>
      </c>
      <c r="B7" s="3">
        <v>58</v>
      </c>
      <c r="C7" s="3">
        <v>131</v>
      </c>
      <c r="D7" s="3">
        <v>65</v>
      </c>
      <c r="E7" s="3">
        <v>126</v>
      </c>
      <c r="F7" s="3">
        <v>28</v>
      </c>
      <c r="G7" s="3">
        <v>18</v>
      </c>
      <c r="H7" s="3">
        <v>131</v>
      </c>
      <c r="I7" s="11">
        <f>SUM(MemberOfAssemblyAssemblyDistrict101General[[#This Row],[Part of Delaware County Vote Results]:[Part of Ulster County Vote Results]])</f>
        <v>557</v>
      </c>
      <c r="J7" s="13"/>
    </row>
    <row r="8" spans="1:10" x14ac:dyDescent="0.2">
      <c r="A8" s="2" t="s">
        <v>575</v>
      </c>
      <c r="B8" s="3">
        <v>60</v>
      </c>
      <c r="C8" s="3">
        <v>59</v>
      </c>
      <c r="D8" s="3">
        <v>14</v>
      </c>
      <c r="E8" s="3">
        <v>74</v>
      </c>
      <c r="F8" s="3">
        <v>35</v>
      </c>
      <c r="G8" s="3">
        <v>8</v>
      </c>
      <c r="H8" s="3">
        <v>79</v>
      </c>
      <c r="I8" s="11">
        <f>SUM(MemberOfAssemblyAssemblyDistrict101General[[#This Row],[Part of Delaware County Vote Results]:[Part of Ulster County Vote Results]])</f>
        <v>329</v>
      </c>
      <c r="J8" s="13"/>
    </row>
    <row r="9" spans="1:10" x14ac:dyDescent="0.2">
      <c r="A9" s="2" t="s">
        <v>576</v>
      </c>
      <c r="B9" s="3">
        <v>15</v>
      </c>
      <c r="C9" s="3">
        <v>28</v>
      </c>
      <c r="D9" s="3">
        <v>2</v>
      </c>
      <c r="E9" s="3">
        <v>38</v>
      </c>
      <c r="F9" s="3">
        <v>5</v>
      </c>
      <c r="G9" s="3">
        <v>5</v>
      </c>
      <c r="H9" s="3">
        <v>27</v>
      </c>
      <c r="I9" s="11">
        <f>SUM(MemberOfAssemblyAssemblyDistrict101General[[#This Row],[Part of Delaware County Vote Results]:[Part of Ulster County Vote Results]])</f>
        <v>120</v>
      </c>
      <c r="J9" s="13"/>
    </row>
    <row r="10" spans="1:10" x14ac:dyDescent="0.2">
      <c r="A10" s="4" t="s">
        <v>0</v>
      </c>
      <c r="B10" s="3">
        <v>110</v>
      </c>
      <c r="C10" s="3">
        <v>532</v>
      </c>
      <c r="D10" s="3">
        <v>62</v>
      </c>
      <c r="E10" s="3">
        <v>762</v>
      </c>
      <c r="F10" s="3">
        <v>124</v>
      </c>
      <c r="G10" s="3">
        <v>59</v>
      </c>
      <c r="H10" s="3">
        <v>400</v>
      </c>
      <c r="I10" s="11">
        <f>SUM(MemberOfAssemblyAssemblyDistrict101General[[#This Row],[Part of Delaware County Vote Results]:[Part of Ulster County Vote Results]])</f>
        <v>2049</v>
      </c>
      <c r="J10" s="13"/>
    </row>
    <row r="11" spans="1:10" x14ac:dyDescent="0.2">
      <c r="A11" s="4" t="s">
        <v>1</v>
      </c>
      <c r="B11" s="3">
        <v>0</v>
      </c>
      <c r="C11" s="3">
        <v>7</v>
      </c>
      <c r="D11" s="3">
        <v>0</v>
      </c>
      <c r="E11" s="3">
        <v>0</v>
      </c>
      <c r="F11" s="3">
        <v>1</v>
      </c>
      <c r="G11" s="3">
        <v>0</v>
      </c>
      <c r="H11" s="3">
        <v>2</v>
      </c>
      <c r="I11" s="11">
        <f>SUM(MemberOfAssemblyAssemblyDistrict101General[[#This Row],[Part of Delaware County Vote Results]:[Part of Ulster County Vote Results]])</f>
        <v>10</v>
      </c>
      <c r="J11" s="13"/>
    </row>
    <row r="12" spans="1:10" x14ac:dyDescent="0.2">
      <c r="A12" s="4" t="s">
        <v>2</v>
      </c>
      <c r="B12" s="5">
        <v>1</v>
      </c>
      <c r="C12" s="5">
        <v>4</v>
      </c>
      <c r="D12" s="5">
        <v>1</v>
      </c>
      <c r="E12" s="5">
        <v>4</v>
      </c>
      <c r="F12" s="5">
        <v>0</v>
      </c>
      <c r="G12" s="5">
        <v>0</v>
      </c>
      <c r="H12" s="5">
        <v>3</v>
      </c>
      <c r="I12" s="11">
        <f>SUM(MemberOfAssemblyAssemblyDistrict101General[[#This Row],[Part of Delaware County Vote Results]:[Part of Ulster County Vote Results]])</f>
        <v>13</v>
      </c>
      <c r="J12" s="13"/>
    </row>
    <row r="13" spans="1:10" hidden="1" x14ac:dyDescent="0.2">
      <c r="A13" s="4" t="s">
        <v>3</v>
      </c>
      <c r="B13" s="6">
        <f>SUBTOTAL(109,MemberOfAssemblyAssemblyDistrict101General[Part of Delaware County Vote Results])</f>
        <v>4713</v>
      </c>
      <c r="C13" s="6"/>
      <c r="D13" s="6"/>
      <c r="E13" s="6"/>
      <c r="F13" s="6"/>
      <c r="G13" s="6"/>
      <c r="H13" s="6">
        <f>SUBTOTAL(109,MemberOfAssemblyAssemblyDistrict101General[Part of Ulster County Vote Results])</f>
        <v>8589</v>
      </c>
    </row>
  </sheetData>
  <pageMargins left="0.5" right="0.5" top="0.25" bottom="0.25" header="0.25" footer="0.25"/>
  <pageSetup paperSize="5" scale="8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E9FA9-B53C-4489-8F65-F9793F8BAEB3}">
  <sheetPr>
    <pageSetUpPr fitToPage="1"/>
  </sheetPr>
  <dimension ref="A1:J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18.75" x14ac:dyDescent="0.2">
      <c r="A1" s="1" t="s">
        <v>577</v>
      </c>
    </row>
    <row r="2" spans="1:10" ht="25.5" x14ac:dyDescent="0.2">
      <c r="A2" s="7" t="s">
        <v>5</v>
      </c>
      <c r="B2" s="8" t="s">
        <v>23</v>
      </c>
      <c r="C2" s="8" t="s">
        <v>24</v>
      </c>
      <c r="D2" s="8" t="s">
        <v>25</v>
      </c>
      <c r="E2" s="8" t="s">
        <v>26</v>
      </c>
      <c r="F2" s="8" t="s">
        <v>18</v>
      </c>
      <c r="G2" s="8" t="s">
        <v>21</v>
      </c>
      <c r="H2" s="8" t="s">
        <v>22</v>
      </c>
      <c r="I2" s="9" t="s">
        <v>869</v>
      </c>
      <c r="J2" s="10" t="s">
        <v>4</v>
      </c>
    </row>
    <row r="3" spans="1:10" x14ac:dyDescent="0.2">
      <c r="A3" s="2" t="s">
        <v>578</v>
      </c>
      <c r="B3" s="3">
        <v>7602</v>
      </c>
      <c r="C3" s="3">
        <v>3969</v>
      </c>
      <c r="D3" s="3">
        <v>1980</v>
      </c>
      <c r="E3" s="3">
        <v>786</v>
      </c>
      <c r="F3" s="3">
        <v>1842</v>
      </c>
      <c r="G3" s="3">
        <v>654</v>
      </c>
      <c r="H3" s="3">
        <v>4225</v>
      </c>
      <c r="I3" s="11">
        <f>SUM(MemberOfAssemblyAssemblyDistrict102General[[#This Row],[Greene County Vote Results]:[Part of Ulster County Vote Results]])</f>
        <v>21058</v>
      </c>
      <c r="J3" s="12">
        <f>SUM(MemberOfAssemblyAssemblyDistrict102General[[#This Row],[Total Votes by Party]],I6,I8)</f>
        <v>23432</v>
      </c>
    </row>
    <row r="4" spans="1:10" x14ac:dyDescent="0.2">
      <c r="A4" s="2" t="s">
        <v>579</v>
      </c>
      <c r="B4" s="3">
        <v>9098</v>
      </c>
      <c r="C4" s="3">
        <v>6503</v>
      </c>
      <c r="D4" s="3">
        <v>2221</v>
      </c>
      <c r="E4" s="3">
        <v>879</v>
      </c>
      <c r="F4" s="3">
        <v>2259</v>
      </c>
      <c r="G4" s="3">
        <v>938</v>
      </c>
      <c r="H4" s="3">
        <v>2863</v>
      </c>
      <c r="I4" s="11">
        <f>SUM(MemberOfAssemblyAssemblyDistrict102General[[#This Row],[Greene County Vote Results]:[Part of Ulster County Vote Results]])</f>
        <v>24761</v>
      </c>
      <c r="J4" s="12">
        <f>SUM(I4:I5,I7,I9)</f>
        <v>30129</v>
      </c>
    </row>
    <row r="5" spans="1:10" x14ac:dyDescent="0.2">
      <c r="A5" s="2" t="s">
        <v>580</v>
      </c>
      <c r="B5" s="3">
        <v>1557</v>
      </c>
      <c r="C5" s="3">
        <v>1086</v>
      </c>
      <c r="D5" s="3">
        <v>555</v>
      </c>
      <c r="E5" s="3">
        <v>165</v>
      </c>
      <c r="F5" s="3">
        <v>226</v>
      </c>
      <c r="G5" s="3">
        <v>117</v>
      </c>
      <c r="H5" s="3">
        <v>583</v>
      </c>
      <c r="I5" s="11">
        <f>SUM(MemberOfAssemblyAssemblyDistrict102General[[#This Row],[Greene County Vote Results]:[Part of Ulster County Vote Results]])</f>
        <v>4289</v>
      </c>
      <c r="J5" s="13"/>
    </row>
    <row r="6" spans="1:10" x14ac:dyDescent="0.2">
      <c r="A6" s="2" t="s">
        <v>581</v>
      </c>
      <c r="B6" s="3">
        <v>636</v>
      </c>
      <c r="C6" s="3">
        <v>284</v>
      </c>
      <c r="D6" s="3">
        <v>164</v>
      </c>
      <c r="E6" s="3">
        <v>64</v>
      </c>
      <c r="F6" s="3">
        <v>97</v>
      </c>
      <c r="G6" s="3">
        <v>33</v>
      </c>
      <c r="H6" s="3">
        <v>420</v>
      </c>
      <c r="I6" s="11">
        <f>SUM(MemberOfAssemblyAssemblyDistrict102General[[#This Row],[Greene County Vote Results]:[Part of Ulster County Vote Results]])</f>
        <v>1698</v>
      </c>
      <c r="J6" s="13"/>
    </row>
    <row r="7" spans="1:10" x14ac:dyDescent="0.2">
      <c r="A7" s="2" t="s">
        <v>582</v>
      </c>
      <c r="B7" s="3">
        <v>240</v>
      </c>
      <c r="C7" s="3">
        <v>203</v>
      </c>
      <c r="D7" s="3">
        <v>109</v>
      </c>
      <c r="E7" s="3">
        <v>41</v>
      </c>
      <c r="F7" s="3">
        <v>60</v>
      </c>
      <c r="G7" s="3">
        <v>29</v>
      </c>
      <c r="H7" s="3">
        <v>176</v>
      </c>
      <c r="I7" s="11">
        <f>SUM(MemberOfAssemblyAssemblyDistrict102General[[#This Row],[Greene County Vote Results]:[Part of Ulster County Vote Results]])</f>
        <v>858</v>
      </c>
      <c r="J7" s="13"/>
    </row>
    <row r="8" spans="1:10" x14ac:dyDescent="0.2">
      <c r="A8" s="2" t="s">
        <v>583</v>
      </c>
      <c r="B8" s="3">
        <v>251</v>
      </c>
      <c r="C8" s="3">
        <v>136</v>
      </c>
      <c r="D8" s="3">
        <v>68</v>
      </c>
      <c r="E8" s="3">
        <v>30</v>
      </c>
      <c r="F8" s="3">
        <v>60</v>
      </c>
      <c r="G8" s="3">
        <v>18</v>
      </c>
      <c r="H8" s="3">
        <v>113</v>
      </c>
      <c r="I8" s="11">
        <f>SUM(MemberOfAssemblyAssemblyDistrict102General[[#This Row],[Greene County Vote Results]:[Part of Ulster County Vote Results]])</f>
        <v>676</v>
      </c>
      <c r="J8" s="13"/>
    </row>
    <row r="9" spans="1:10" x14ac:dyDescent="0.2">
      <c r="A9" s="2" t="s">
        <v>584</v>
      </c>
      <c r="B9" s="3">
        <v>62</v>
      </c>
      <c r="C9" s="3">
        <v>77</v>
      </c>
      <c r="D9" s="3">
        <v>23</v>
      </c>
      <c r="E9" s="3">
        <v>11</v>
      </c>
      <c r="F9" s="3">
        <v>15</v>
      </c>
      <c r="G9" s="3">
        <v>7</v>
      </c>
      <c r="H9" s="3">
        <v>26</v>
      </c>
      <c r="I9" s="11">
        <f>SUM(MemberOfAssemblyAssemblyDistrict102General[[#This Row],[Greene County Vote Results]:[Part of Ulster County Vote Results]])</f>
        <v>221</v>
      </c>
      <c r="J9" s="13"/>
    </row>
    <row r="10" spans="1:10" x14ac:dyDescent="0.2">
      <c r="A10" s="4" t="s">
        <v>0</v>
      </c>
      <c r="B10" s="3">
        <v>653</v>
      </c>
      <c r="C10" s="3">
        <v>227</v>
      </c>
      <c r="D10" s="3">
        <v>159</v>
      </c>
      <c r="E10" s="3">
        <v>77</v>
      </c>
      <c r="F10" s="3">
        <v>102</v>
      </c>
      <c r="G10" s="3">
        <v>93</v>
      </c>
      <c r="H10" s="3">
        <v>390</v>
      </c>
      <c r="I10" s="11">
        <f>SUM(MemberOfAssemblyAssemblyDistrict102General[[#This Row],[Greene County Vote Results]:[Part of Ulster County Vote Results]])</f>
        <v>1701</v>
      </c>
      <c r="J10" s="13"/>
    </row>
    <row r="11" spans="1:10" x14ac:dyDescent="0.2">
      <c r="A11" s="4" t="s">
        <v>1</v>
      </c>
      <c r="B11" s="3">
        <v>8</v>
      </c>
      <c r="C11" s="3">
        <v>3</v>
      </c>
      <c r="D11" s="3">
        <v>5</v>
      </c>
      <c r="E11" s="3">
        <v>0</v>
      </c>
      <c r="F11" s="3">
        <v>2</v>
      </c>
      <c r="G11" s="3">
        <v>0</v>
      </c>
      <c r="H11" s="3">
        <v>4</v>
      </c>
      <c r="I11" s="11">
        <f>SUM(MemberOfAssemblyAssemblyDistrict102General[[#This Row],[Greene County Vote Results]:[Part of Ulster County Vote Results]])</f>
        <v>22</v>
      </c>
      <c r="J11" s="13"/>
    </row>
    <row r="12" spans="1:10" x14ac:dyDescent="0.2">
      <c r="A12" s="4" t="s">
        <v>2</v>
      </c>
      <c r="B12" s="5">
        <v>4</v>
      </c>
      <c r="C12" s="5">
        <v>4</v>
      </c>
      <c r="D12" s="5">
        <v>0</v>
      </c>
      <c r="E12" s="5">
        <v>0</v>
      </c>
      <c r="F12" s="5">
        <v>1</v>
      </c>
      <c r="G12" s="5">
        <v>0</v>
      </c>
      <c r="H12" s="5">
        <v>2</v>
      </c>
      <c r="I12" s="11">
        <f>SUM(MemberOfAssemblyAssemblyDistrict102General[[#This Row],[Greene County Vote Results]:[Part of Ulster County Vote Results]])</f>
        <v>11</v>
      </c>
      <c r="J12" s="13"/>
    </row>
    <row r="13" spans="1:10" hidden="1" x14ac:dyDescent="0.2">
      <c r="A13" s="4" t="s">
        <v>3</v>
      </c>
      <c r="B13" s="6">
        <f>SUBTOTAL(109,MemberOfAssemblyAssemblyDistrict102General[Greene County Vote Results])</f>
        <v>20111</v>
      </c>
      <c r="C13" s="6"/>
      <c r="D13" s="6"/>
      <c r="E13" s="6"/>
      <c r="F13" s="6"/>
      <c r="G13" s="6"/>
      <c r="H13" s="6">
        <f>SUBTOTAL(109,MemberOfAssemblyAssemblyDistrict102General[Part of Ulster County Vote Results])</f>
        <v>8802</v>
      </c>
    </row>
  </sheetData>
  <pageMargins left="0.5" right="0.5" top="0.25" bottom="0.25" header="0.25" footer="0.25"/>
  <pageSetup paperSize="5" scale="8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AD44-3636-4B54-8EF0-5744489C2C6A}">
  <sheetPr>
    <pageSetUpPr fitToPage="1"/>
  </sheetPr>
  <dimension ref="A1:E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587</v>
      </c>
    </row>
    <row r="2" spans="1:5" ht="25.5" x14ac:dyDescent="0.2">
      <c r="A2" s="7" t="s">
        <v>5</v>
      </c>
      <c r="B2" s="8" t="s">
        <v>27</v>
      </c>
      <c r="C2" s="8" t="s">
        <v>22</v>
      </c>
      <c r="D2" s="9" t="s">
        <v>869</v>
      </c>
      <c r="E2" s="10" t="s">
        <v>4</v>
      </c>
    </row>
    <row r="3" spans="1:5" x14ac:dyDescent="0.2">
      <c r="A3" s="2" t="s">
        <v>585</v>
      </c>
      <c r="B3" s="3">
        <v>6191</v>
      </c>
      <c r="C3" s="3">
        <v>33520</v>
      </c>
      <c r="D3" s="11">
        <f>SUM(MemberOfAssemblyAssemblyDistrict103General[[#This Row],[Part of Dutchess County Vote Results]:[Part of Ulster County Vote Results]])</f>
        <v>39711</v>
      </c>
      <c r="E3" s="12">
        <f>SUM(D3:D4)</f>
        <v>46179</v>
      </c>
    </row>
    <row r="4" spans="1:5" x14ac:dyDescent="0.2">
      <c r="A4" s="2" t="s">
        <v>586</v>
      </c>
      <c r="B4" s="3">
        <v>636</v>
      </c>
      <c r="C4" s="3">
        <v>5832</v>
      </c>
      <c r="D4" s="11">
        <f>SUM(MemberOfAssemblyAssemblyDistrict103General[[#This Row],[Part of Dutchess County Vote Results]:[Part of Ulster County Vote Results]])</f>
        <v>6468</v>
      </c>
      <c r="E4" s="13"/>
    </row>
    <row r="5" spans="1:5" x14ac:dyDescent="0.2">
      <c r="A5" s="4" t="s">
        <v>0</v>
      </c>
      <c r="B5" s="3">
        <v>2820</v>
      </c>
      <c r="C5" s="3">
        <v>14967</v>
      </c>
      <c r="D5" s="11">
        <f>SUM(MemberOfAssemblyAssemblyDistrict103General[[#This Row],[Part of Dutchess County Vote Results]:[Part of Ulster County Vote Results]])</f>
        <v>17787</v>
      </c>
      <c r="E5" s="13"/>
    </row>
    <row r="6" spans="1:5" x14ac:dyDescent="0.2">
      <c r="A6" s="4" t="s">
        <v>1</v>
      </c>
      <c r="B6" s="3">
        <v>0</v>
      </c>
      <c r="C6" s="3">
        <v>33</v>
      </c>
      <c r="D6" s="11">
        <f>SUM(MemberOfAssemblyAssemblyDistrict103General[[#This Row],[Part of Dutchess County Vote Results]:[Part of Ulster County Vote Results]])</f>
        <v>33</v>
      </c>
      <c r="E6" s="13"/>
    </row>
    <row r="7" spans="1:5" x14ac:dyDescent="0.2">
      <c r="A7" s="4" t="s">
        <v>2</v>
      </c>
      <c r="B7" s="5">
        <v>18</v>
      </c>
      <c r="C7" s="5">
        <v>201</v>
      </c>
      <c r="D7" s="11">
        <f>SUM(MemberOfAssemblyAssemblyDistrict103General[[#This Row],[Part of Dutchess County Vote Results]:[Part of Ulster County Vote Results]])</f>
        <v>219</v>
      </c>
      <c r="E7" s="13"/>
    </row>
    <row r="8" spans="1:5" hidden="1" x14ac:dyDescent="0.2">
      <c r="A8" s="4" t="s">
        <v>3</v>
      </c>
      <c r="B8" s="6">
        <f>SUBTOTAL(109,MemberOfAssemblyAssemblyDistrict103General[Part of Dutchess County Vote Results])</f>
        <v>9665</v>
      </c>
      <c r="C8" s="6">
        <f>SUBTOTAL(109,MemberOfAssemblyAssemblyDistrict103General[Part of Ulster County Vote Results])</f>
        <v>54553</v>
      </c>
      <c r="D8" s="11">
        <f>SUM(MemberOfAssemblyAssemblyDistrict100General[[#This Row],[Part of Orange County Vote Results]:[Part of Sullivan County Vote Results]])</f>
        <v>159</v>
      </c>
      <c r="E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7F02-E97A-4DC8-8BD5-ECB4589C3162}">
  <sheetPr>
    <pageSetUpPr fitToPage="1"/>
  </sheetPr>
  <dimension ref="A1:F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588</v>
      </c>
    </row>
    <row r="2" spans="1:6" ht="25.5" x14ac:dyDescent="0.2">
      <c r="A2" s="7" t="s">
        <v>5</v>
      </c>
      <c r="B2" s="8" t="s">
        <v>27</v>
      </c>
      <c r="C2" s="8" t="s">
        <v>16</v>
      </c>
      <c r="D2" s="8" t="s">
        <v>22</v>
      </c>
      <c r="E2" s="9" t="s">
        <v>869</v>
      </c>
      <c r="F2" s="10" t="s">
        <v>4</v>
      </c>
    </row>
    <row r="3" spans="1:6" x14ac:dyDescent="0.2">
      <c r="A3" s="2" t="s">
        <v>589</v>
      </c>
      <c r="B3" s="3">
        <v>9464</v>
      </c>
      <c r="C3" s="3">
        <v>8551</v>
      </c>
      <c r="D3" s="3">
        <v>3570</v>
      </c>
      <c r="E3" s="11">
        <f>SUM(MemberOfAssemblyAssemblyDistrict104General[[#This Row],[Part of Dutchess County Vote Results]:[Part of Ulster County Vote Results]])</f>
        <v>21585</v>
      </c>
      <c r="F3" s="12">
        <f>MemberOfAssemblyAssemblyDistrict104General[[#This Row],[Total Votes by Party]]</f>
        <v>21585</v>
      </c>
    </row>
    <row r="4" spans="1:6" x14ac:dyDescent="0.2">
      <c r="A4" s="2" t="s">
        <v>590</v>
      </c>
      <c r="B4" s="3">
        <v>2851</v>
      </c>
      <c r="C4" s="3">
        <v>6223</v>
      </c>
      <c r="D4" s="3">
        <v>3357</v>
      </c>
      <c r="E4" s="11">
        <f>SUM(MemberOfAssemblyAssemblyDistrict104General[[#This Row],[Part of Dutchess County Vote Results]:[Part of Ulster County Vote Results]])</f>
        <v>12431</v>
      </c>
      <c r="F4" s="12">
        <f>SUM(E4:E5)</f>
        <v>14348</v>
      </c>
    </row>
    <row r="5" spans="1:6" x14ac:dyDescent="0.2">
      <c r="A5" s="2" t="s">
        <v>591</v>
      </c>
      <c r="B5" s="3">
        <v>496</v>
      </c>
      <c r="C5" s="3">
        <v>878</v>
      </c>
      <c r="D5" s="3">
        <v>543</v>
      </c>
      <c r="E5" s="11">
        <f>SUM(MemberOfAssemblyAssemblyDistrict104General[[#This Row],[Part of Dutchess County Vote Results]:[Part of Ulster County Vote Results]])</f>
        <v>1917</v>
      </c>
      <c r="F5" s="13"/>
    </row>
    <row r="6" spans="1:6" x14ac:dyDescent="0.2">
      <c r="A6" s="4" t="s">
        <v>0</v>
      </c>
      <c r="B6" s="3">
        <v>993</v>
      </c>
      <c r="C6" s="3">
        <v>1150</v>
      </c>
      <c r="D6" s="3">
        <v>369</v>
      </c>
      <c r="E6" s="11">
        <f>SUM(MemberOfAssemblyAssemblyDistrict104General[[#This Row],[Part of Dutchess County Vote Results]:[Part of Ulster County Vote Results]])</f>
        <v>2512</v>
      </c>
      <c r="F6" s="13"/>
    </row>
    <row r="7" spans="1:6" x14ac:dyDescent="0.2">
      <c r="A7" s="4" t="s">
        <v>1</v>
      </c>
      <c r="B7" s="3">
        <v>1</v>
      </c>
      <c r="C7" s="3">
        <v>0</v>
      </c>
      <c r="D7" s="3">
        <v>3</v>
      </c>
      <c r="E7" s="11">
        <f>SUM(MemberOfAssemblyAssemblyDistrict104General[[#This Row],[Part of Dutchess County Vote Results]:[Part of Ulster County Vote Results]])</f>
        <v>4</v>
      </c>
      <c r="F7" s="13"/>
    </row>
    <row r="8" spans="1:6" x14ac:dyDescent="0.2">
      <c r="A8" s="4" t="s">
        <v>2</v>
      </c>
      <c r="B8" s="5">
        <v>10</v>
      </c>
      <c r="C8" s="5">
        <v>13</v>
      </c>
      <c r="D8" s="5">
        <v>4</v>
      </c>
      <c r="E8" s="11">
        <f>SUM(MemberOfAssemblyAssemblyDistrict104General[[#This Row],[Part of Dutchess County Vote Results]:[Part of Ulster County Vote Results]])</f>
        <v>27</v>
      </c>
      <c r="F8" s="13"/>
    </row>
    <row r="9" spans="1:6" hidden="1" x14ac:dyDescent="0.2">
      <c r="A9" s="4" t="s">
        <v>3</v>
      </c>
      <c r="B9" s="6">
        <f>SUBTOTAL(109,MemberOfAssemblyAssemblyDistrict104General[Part of Dutchess County Vote Results])</f>
        <v>13815</v>
      </c>
      <c r="C9" s="6"/>
      <c r="D9" s="6">
        <f>SUBTOTAL(109,MemberOfAssemblyAssemblyDistrict104General[Part of Ulster County Vote Results])</f>
        <v>7846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08C0-FF92-4931-90E8-75A5F904C691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592</v>
      </c>
    </row>
    <row r="2" spans="1:4" ht="25.5" x14ac:dyDescent="0.2">
      <c r="A2" s="7" t="s">
        <v>5</v>
      </c>
      <c r="B2" s="8" t="s">
        <v>27</v>
      </c>
      <c r="C2" s="9" t="s">
        <v>869</v>
      </c>
      <c r="D2" s="10" t="s">
        <v>4</v>
      </c>
    </row>
    <row r="3" spans="1:4" x14ac:dyDescent="0.2">
      <c r="A3" s="2" t="s">
        <v>593</v>
      </c>
      <c r="B3" s="3">
        <v>20833</v>
      </c>
      <c r="C3" s="11">
        <f>MemberOfAssemblyAssemblyDistrict105General[[#This Row],[Part of Dutchess County Vote Results]]</f>
        <v>20833</v>
      </c>
      <c r="D3" s="12">
        <f>SUM(MemberOfAssemblyAssemblyDistrict105General[[#This Row],[Total Votes by Party]],C6,C8)</f>
        <v>21878</v>
      </c>
    </row>
    <row r="4" spans="1:4" x14ac:dyDescent="0.2">
      <c r="A4" s="2" t="s">
        <v>594</v>
      </c>
      <c r="B4" s="3">
        <v>24654</v>
      </c>
      <c r="C4" s="11">
        <f>MemberOfAssemblyAssemblyDistrict105General[[#This Row],[Part of Dutchess County Vote Results]]</f>
        <v>24654</v>
      </c>
      <c r="D4" s="12">
        <f>SUM(C4:C5,C7,C9)</f>
        <v>29487</v>
      </c>
    </row>
    <row r="5" spans="1:4" x14ac:dyDescent="0.2">
      <c r="A5" s="2" t="s">
        <v>595</v>
      </c>
      <c r="B5" s="3">
        <v>3925</v>
      </c>
      <c r="C5" s="11">
        <f>MemberOfAssemblyAssemblyDistrict105General[[#This Row],[Part of Dutchess County Vote Results]]</f>
        <v>3925</v>
      </c>
      <c r="D5" s="13"/>
    </row>
    <row r="6" spans="1:4" x14ac:dyDescent="0.2">
      <c r="A6" s="2" t="s">
        <v>596</v>
      </c>
      <c r="B6" s="3">
        <v>699</v>
      </c>
      <c r="C6" s="11">
        <f>MemberOfAssemblyAssemblyDistrict105General[[#This Row],[Part of Dutchess County Vote Results]]</f>
        <v>699</v>
      </c>
      <c r="D6" s="13"/>
    </row>
    <row r="7" spans="1:4" x14ac:dyDescent="0.2">
      <c r="A7" s="2" t="s">
        <v>597</v>
      </c>
      <c r="B7" s="3">
        <v>745</v>
      </c>
      <c r="C7" s="11">
        <f>MemberOfAssemblyAssemblyDistrict105General[[#This Row],[Part of Dutchess County Vote Results]]</f>
        <v>745</v>
      </c>
      <c r="D7" s="13"/>
    </row>
    <row r="8" spans="1:4" x14ac:dyDescent="0.2">
      <c r="A8" s="2" t="s">
        <v>598</v>
      </c>
      <c r="B8" s="3">
        <v>346</v>
      </c>
      <c r="C8" s="11">
        <f>MemberOfAssemblyAssemblyDistrict105General[[#This Row],[Part of Dutchess County Vote Results]]</f>
        <v>346</v>
      </c>
      <c r="D8" s="13"/>
    </row>
    <row r="9" spans="1:4" x14ac:dyDescent="0.2">
      <c r="A9" s="2" t="s">
        <v>599</v>
      </c>
      <c r="B9" s="3">
        <v>163</v>
      </c>
      <c r="C9" s="11">
        <f>MemberOfAssemblyAssemblyDistrict105General[[#This Row],[Part of Dutchess County Vote Results]]</f>
        <v>163</v>
      </c>
      <c r="D9" s="13"/>
    </row>
    <row r="10" spans="1:4" x14ac:dyDescent="0.2">
      <c r="A10" s="4" t="s">
        <v>0</v>
      </c>
      <c r="B10" s="5">
        <v>2538</v>
      </c>
      <c r="C10" s="11">
        <f>MemberOfAssemblyAssemblyDistrict105General[[#This Row],[Part of Dutchess County Vote Results]]</f>
        <v>2538</v>
      </c>
      <c r="D10" s="13"/>
    </row>
    <row r="11" spans="1:4" x14ac:dyDescent="0.2">
      <c r="A11" s="4" t="s">
        <v>1</v>
      </c>
      <c r="B11" s="5">
        <v>2</v>
      </c>
      <c r="C11" s="11">
        <f>MemberOfAssemblyAssemblyDistrict105General[[#This Row],[Part of Dutchess County Vote Results]]</f>
        <v>2</v>
      </c>
      <c r="D11" s="13"/>
    </row>
    <row r="12" spans="1:4" x14ac:dyDescent="0.2">
      <c r="A12" s="4" t="s">
        <v>2</v>
      </c>
      <c r="B12" s="5">
        <v>14</v>
      </c>
      <c r="C12" s="11">
        <f>MemberOfAssemblyAssemblyDistrict105General[[#This Row],[Part of Dutchess County Vote Results]]</f>
        <v>14</v>
      </c>
      <c r="D12" s="13"/>
    </row>
    <row r="13" spans="1:4" hidden="1" x14ac:dyDescent="0.2">
      <c r="A13" s="4" t="s">
        <v>3</v>
      </c>
      <c r="B13" s="6">
        <f>SUBTOTAL(109,MemberOfAssemblyAssemblyDistrict105General[Total Votes by Candidate])</f>
        <v>51365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9ED5-8BD7-4F80-B87C-DA574C410E3A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600</v>
      </c>
    </row>
    <row r="2" spans="1:5" ht="25.5" x14ac:dyDescent="0.2">
      <c r="A2" s="7" t="s">
        <v>5</v>
      </c>
      <c r="B2" s="8" t="s">
        <v>26</v>
      </c>
      <c r="C2" s="8" t="s">
        <v>27</v>
      </c>
      <c r="D2" s="9" t="s">
        <v>869</v>
      </c>
      <c r="E2" s="10" t="s">
        <v>4</v>
      </c>
    </row>
    <row r="3" spans="1:5" x14ac:dyDescent="0.2">
      <c r="A3" s="2" t="s">
        <v>601</v>
      </c>
      <c r="B3" s="3">
        <v>8680</v>
      </c>
      <c r="C3" s="3">
        <v>17818</v>
      </c>
      <c r="D3" s="11">
        <f>SUM(MemberOfAssemblyAssemblyDistrict106General[[#This Row],[Part of Columbia County Vote Results]:[Part of Dutchess County Vote Results]])</f>
        <v>26498</v>
      </c>
      <c r="E3" s="12">
        <f>SUM(MemberOfAssemblyAssemblyDistrict106General[[#This Row],[Total Votes by Party]],D6:D7)</f>
        <v>28784</v>
      </c>
    </row>
    <row r="4" spans="1:5" x14ac:dyDescent="0.2">
      <c r="A4" s="2" t="s">
        <v>602</v>
      </c>
      <c r="B4" s="3">
        <v>5711</v>
      </c>
      <c r="C4" s="3">
        <v>13815</v>
      </c>
      <c r="D4" s="11">
        <f>SUM(MemberOfAssemblyAssemblyDistrict106General[[#This Row],[Part of Columbia County Vote Results]:[Part of Dutchess County Vote Results]])</f>
        <v>19526</v>
      </c>
      <c r="E4" s="12">
        <f>SUM(D4:D5,D8:D9)</f>
        <v>23160</v>
      </c>
    </row>
    <row r="5" spans="1:5" x14ac:dyDescent="0.2">
      <c r="A5" s="2" t="s">
        <v>603</v>
      </c>
      <c r="B5" s="3">
        <v>884</v>
      </c>
      <c r="C5" s="3">
        <v>2315</v>
      </c>
      <c r="D5" s="11">
        <f>SUM(MemberOfAssemblyAssemblyDistrict106General[[#This Row],[Part of Columbia County Vote Results]:[Part of Dutchess County Vote Results]])</f>
        <v>3199</v>
      </c>
      <c r="E5" s="13"/>
    </row>
    <row r="6" spans="1:5" x14ac:dyDescent="0.2">
      <c r="A6" s="2" t="s">
        <v>604</v>
      </c>
      <c r="B6" s="3">
        <v>651</v>
      </c>
      <c r="C6" s="3">
        <v>731</v>
      </c>
      <c r="D6" s="11">
        <f>SUM(MemberOfAssemblyAssemblyDistrict106General[[#This Row],[Part of Columbia County Vote Results]:[Part of Dutchess County Vote Results]])</f>
        <v>1382</v>
      </c>
      <c r="E6" s="13"/>
    </row>
    <row r="7" spans="1:5" x14ac:dyDescent="0.2">
      <c r="A7" s="2" t="s">
        <v>605</v>
      </c>
      <c r="B7" s="3">
        <v>321</v>
      </c>
      <c r="C7" s="3">
        <v>583</v>
      </c>
      <c r="D7" s="11">
        <f>SUM(MemberOfAssemblyAssemblyDistrict106General[[#This Row],[Part of Columbia County Vote Results]:[Part of Dutchess County Vote Results]])</f>
        <v>904</v>
      </c>
      <c r="E7" s="13"/>
    </row>
    <row r="8" spans="1:5" x14ac:dyDescent="0.2">
      <c r="A8" s="2" t="s">
        <v>606</v>
      </c>
      <c r="B8" s="3">
        <v>80</v>
      </c>
      <c r="C8" s="3">
        <v>179</v>
      </c>
      <c r="D8" s="11">
        <f>SUM(MemberOfAssemblyAssemblyDistrict106General[[#This Row],[Part of Columbia County Vote Results]:[Part of Dutchess County Vote Results]])</f>
        <v>259</v>
      </c>
      <c r="E8" s="13"/>
    </row>
    <row r="9" spans="1:5" x14ac:dyDescent="0.2">
      <c r="A9" s="2" t="s">
        <v>607</v>
      </c>
      <c r="B9" s="3">
        <v>51</v>
      </c>
      <c r="C9" s="3">
        <v>125</v>
      </c>
      <c r="D9" s="11">
        <f>SUM(MemberOfAssemblyAssemblyDistrict106General[[#This Row],[Part of Columbia County Vote Results]:[Part of Dutchess County Vote Results]])</f>
        <v>176</v>
      </c>
      <c r="E9" s="13"/>
    </row>
    <row r="10" spans="1:5" x14ac:dyDescent="0.2">
      <c r="A10" s="4" t="s">
        <v>0</v>
      </c>
      <c r="B10" s="3">
        <v>509</v>
      </c>
      <c r="C10" s="3">
        <v>1186</v>
      </c>
      <c r="D10" s="11">
        <f>SUM(MemberOfAssemblyAssemblyDistrict106General[[#This Row],[Part of Columbia County Vote Results]:[Part of Dutchess County Vote Results]])</f>
        <v>1695</v>
      </c>
      <c r="E10" s="13"/>
    </row>
    <row r="11" spans="1:5" x14ac:dyDescent="0.2">
      <c r="A11" s="4" t="s">
        <v>1</v>
      </c>
      <c r="B11" s="3">
        <v>7</v>
      </c>
      <c r="C11" s="3">
        <v>17</v>
      </c>
      <c r="D11" s="11">
        <f>SUM(MemberOfAssemblyAssemblyDistrict106General[[#This Row],[Part of Columbia County Vote Results]:[Part of Dutchess County Vote Results]])</f>
        <v>24</v>
      </c>
      <c r="E11" s="13"/>
    </row>
    <row r="12" spans="1:5" x14ac:dyDescent="0.2">
      <c r="A12" s="4" t="s">
        <v>2</v>
      </c>
      <c r="B12" s="5">
        <v>4</v>
      </c>
      <c r="C12" s="5">
        <v>14</v>
      </c>
      <c r="D12" s="11">
        <f>SUM(MemberOfAssemblyAssemblyDistrict106General[[#This Row],[Part of Columbia County Vote Results]:[Part of Dutchess County Vote Results]])</f>
        <v>18</v>
      </c>
      <c r="E12" s="13"/>
    </row>
    <row r="13" spans="1:5" hidden="1" x14ac:dyDescent="0.2">
      <c r="A13" s="4" t="s">
        <v>3</v>
      </c>
      <c r="B13" s="6">
        <f>SUBTOTAL(109,MemberOfAssemblyAssemblyDistrict106General[Part of Columbia County Vote Results])</f>
        <v>16898</v>
      </c>
      <c r="C13" s="6">
        <f>SUBTOTAL(109,MemberOfAssemblyAssemblyDistrict106General[Part of Dutchess County Vote Results])</f>
        <v>36783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4671-98C7-4A94-981E-979FD6389EEE}">
  <sheetPr>
    <pageSetUpPr fitToPage="1"/>
  </sheetPr>
  <dimension ref="A1:F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608</v>
      </c>
    </row>
    <row r="2" spans="1:6" ht="25.5" x14ac:dyDescent="0.2">
      <c r="A2" s="7" t="s">
        <v>5</v>
      </c>
      <c r="B2" s="8" t="s">
        <v>26</v>
      </c>
      <c r="C2" s="8" t="s">
        <v>28</v>
      </c>
      <c r="D2" s="8" t="s">
        <v>29</v>
      </c>
      <c r="E2" s="9" t="s">
        <v>869</v>
      </c>
      <c r="F2" s="10" t="s">
        <v>4</v>
      </c>
    </row>
    <row r="3" spans="1:6" x14ac:dyDescent="0.2">
      <c r="A3" s="2" t="s">
        <v>609</v>
      </c>
      <c r="B3" s="3">
        <v>5704</v>
      </c>
      <c r="C3" s="3">
        <v>18413</v>
      </c>
      <c r="D3" s="3">
        <v>941</v>
      </c>
      <c r="E3" s="11">
        <f>SUM(MemberOfAssemblyAssemblyDistrict107General[[#This Row],[Part of Columbia County Vote Results]:[Part of Washington County Vote Results]])</f>
        <v>25058</v>
      </c>
      <c r="F3" s="12">
        <f>SUM(MemberOfAssemblyAssemblyDistrict107General[[#This Row],[Total Votes by Party]],E6:E7,E9)</f>
        <v>28282</v>
      </c>
    </row>
    <row r="4" spans="1:6" x14ac:dyDescent="0.2">
      <c r="A4" s="2" t="s">
        <v>610</v>
      </c>
      <c r="B4" s="3">
        <v>3377</v>
      </c>
      <c r="C4" s="3">
        <v>18696</v>
      </c>
      <c r="D4" s="3">
        <v>900</v>
      </c>
      <c r="E4" s="11">
        <f>SUM(MemberOfAssemblyAssemblyDistrict107General[[#This Row],[Part of Columbia County Vote Results]:[Part of Washington County Vote Results]])</f>
        <v>22973</v>
      </c>
      <c r="F4" s="12">
        <f>SUM(E4:E5,E8,E10)</f>
        <v>29170</v>
      </c>
    </row>
    <row r="5" spans="1:6" x14ac:dyDescent="0.2">
      <c r="A5" s="2" t="s">
        <v>611</v>
      </c>
      <c r="B5" s="3">
        <v>700</v>
      </c>
      <c r="C5" s="3">
        <v>3754</v>
      </c>
      <c r="D5" s="3">
        <v>167</v>
      </c>
      <c r="E5" s="11">
        <f>SUM(MemberOfAssemblyAssemblyDistrict107General[[#This Row],[Part of Columbia County Vote Results]:[Part of Washington County Vote Results]])</f>
        <v>4621</v>
      </c>
      <c r="F5" s="13"/>
    </row>
    <row r="6" spans="1:6" x14ac:dyDescent="0.2">
      <c r="A6" s="2" t="s">
        <v>612</v>
      </c>
      <c r="B6" s="3">
        <v>134</v>
      </c>
      <c r="C6" s="3">
        <v>542</v>
      </c>
      <c r="D6" s="3">
        <v>28</v>
      </c>
      <c r="E6" s="11">
        <f>SUM(MemberOfAssemblyAssemblyDistrict107General[[#This Row],[Part of Columbia County Vote Results]:[Part of Washington County Vote Results]])</f>
        <v>704</v>
      </c>
      <c r="F6" s="13"/>
    </row>
    <row r="7" spans="1:6" x14ac:dyDescent="0.2">
      <c r="A7" s="2" t="s">
        <v>613</v>
      </c>
      <c r="B7" s="3">
        <v>407</v>
      </c>
      <c r="C7" s="3">
        <v>1266</v>
      </c>
      <c r="D7" s="3">
        <v>57</v>
      </c>
      <c r="E7" s="11">
        <f>SUM(MemberOfAssemblyAssemblyDistrict107General[[#This Row],[Part of Columbia County Vote Results]:[Part of Washington County Vote Results]])</f>
        <v>1730</v>
      </c>
      <c r="F7" s="13"/>
    </row>
    <row r="8" spans="1:6" x14ac:dyDescent="0.2">
      <c r="A8" s="2" t="s">
        <v>614</v>
      </c>
      <c r="B8" s="3">
        <v>178</v>
      </c>
      <c r="C8" s="3">
        <v>1155</v>
      </c>
      <c r="D8" s="3">
        <v>20</v>
      </c>
      <c r="E8" s="11">
        <f>SUM(MemberOfAssemblyAssemblyDistrict107General[[#This Row],[Part of Columbia County Vote Results]:[Part of Washington County Vote Results]])</f>
        <v>1353</v>
      </c>
      <c r="F8" s="13"/>
    </row>
    <row r="9" spans="1:6" x14ac:dyDescent="0.2">
      <c r="A9" s="2" t="s">
        <v>615</v>
      </c>
      <c r="B9" s="3">
        <v>159</v>
      </c>
      <c r="C9" s="3">
        <v>609</v>
      </c>
      <c r="D9" s="3">
        <v>22</v>
      </c>
      <c r="E9" s="11">
        <f>SUM(MemberOfAssemblyAssemblyDistrict107General[[#This Row],[Part of Columbia County Vote Results]:[Part of Washington County Vote Results]])</f>
        <v>790</v>
      </c>
      <c r="F9" s="13"/>
    </row>
    <row r="10" spans="1:6" x14ac:dyDescent="0.2">
      <c r="A10" s="2" t="s">
        <v>616</v>
      </c>
      <c r="B10" s="3">
        <v>32</v>
      </c>
      <c r="C10" s="3">
        <v>180</v>
      </c>
      <c r="D10" s="3">
        <v>11</v>
      </c>
      <c r="E10" s="11">
        <f>SUM(MemberOfAssemblyAssemblyDistrict107General[[#This Row],[Part of Columbia County Vote Results]:[Part of Washington County Vote Results]])</f>
        <v>223</v>
      </c>
      <c r="F10" s="13"/>
    </row>
    <row r="11" spans="1:6" x14ac:dyDescent="0.2">
      <c r="A11" s="4" t="s">
        <v>0</v>
      </c>
      <c r="B11" s="3">
        <v>254</v>
      </c>
      <c r="C11" s="3">
        <v>1704</v>
      </c>
      <c r="D11" s="3">
        <v>44</v>
      </c>
      <c r="E11" s="11">
        <f>SUM(MemberOfAssemblyAssemblyDistrict107General[[#This Row],[Part of Columbia County Vote Results]:[Part of Washington County Vote Results]])</f>
        <v>2002</v>
      </c>
      <c r="F11" s="13"/>
    </row>
    <row r="12" spans="1:6" x14ac:dyDescent="0.2">
      <c r="A12" s="4" t="s">
        <v>1</v>
      </c>
      <c r="B12" s="3">
        <v>1</v>
      </c>
      <c r="C12" s="3">
        <v>0</v>
      </c>
      <c r="D12" s="3">
        <v>0</v>
      </c>
      <c r="E12" s="11">
        <f>SUM(MemberOfAssemblyAssemblyDistrict107General[[#This Row],[Part of Columbia County Vote Results]:[Part of Washington County Vote Results]])</f>
        <v>1</v>
      </c>
      <c r="F12" s="13"/>
    </row>
    <row r="13" spans="1:6" x14ac:dyDescent="0.2">
      <c r="A13" s="4" t="s">
        <v>2</v>
      </c>
      <c r="B13" s="5">
        <v>1</v>
      </c>
      <c r="C13" s="5">
        <v>6</v>
      </c>
      <c r="D13" s="5">
        <v>1</v>
      </c>
      <c r="E13" s="11">
        <f>SUM(MemberOfAssemblyAssemblyDistrict107General[[#This Row],[Part of Columbia County Vote Results]:[Part of Washington County Vote Results]])</f>
        <v>8</v>
      </c>
      <c r="F13" s="13"/>
    </row>
    <row r="14" spans="1:6" hidden="1" x14ac:dyDescent="0.2">
      <c r="A14" s="4" t="s">
        <v>3</v>
      </c>
      <c r="B14" s="6">
        <f>SUBTOTAL(109,MemberOfAssemblyAssemblyDistrict107General[Part of Columbia County Vote Results])</f>
        <v>10947</v>
      </c>
      <c r="C14" s="6"/>
      <c r="D14" s="6">
        <f>SUBTOTAL(109,MemberOfAssemblyAssemblyDistrict107General[Part of Washington County Vote Results])</f>
        <v>2191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3FF1-AF50-490B-803D-63324CBA37EB}">
  <sheetPr>
    <pageSetUpPr fitToPage="1"/>
  </sheetPr>
  <dimension ref="A1:F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617</v>
      </c>
    </row>
    <row r="2" spans="1:6" ht="25.5" x14ac:dyDescent="0.2">
      <c r="A2" s="7" t="s">
        <v>5</v>
      </c>
      <c r="B2" s="8" t="s">
        <v>25</v>
      </c>
      <c r="C2" s="8" t="s">
        <v>28</v>
      </c>
      <c r="D2" s="8" t="s">
        <v>30</v>
      </c>
      <c r="E2" s="9" t="s">
        <v>869</v>
      </c>
      <c r="F2" s="10" t="s">
        <v>4</v>
      </c>
    </row>
    <row r="3" spans="1:6" x14ac:dyDescent="0.2">
      <c r="A3" s="2" t="s">
        <v>618</v>
      </c>
      <c r="B3" s="3">
        <v>13159</v>
      </c>
      <c r="C3" s="3">
        <v>9617</v>
      </c>
      <c r="D3" s="3">
        <v>1810</v>
      </c>
      <c r="E3" s="11">
        <f>SUM(MemberOfAssemblyAssemblyDistrict108General[[#This Row],[Part of Albany County Vote Results]:[Part of Saratoga County Vote Results]])</f>
        <v>24586</v>
      </c>
      <c r="F3" s="12">
        <f>SUM(E3:E4)</f>
        <v>27872</v>
      </c>
    </row>
    <row r="4" spans="1:6" x14ac:dyDescent="0.2">
      <c r="A4" s="2" t="s">
        <v>619</v>
      </c>
      <c r="B4" s="3">
        <v>1175</v>
      </c>
      <c r="C4" s="3">
        <v>1738</v>
      </c>
      <c r="D4" s="3">
        <v>373</v>
      </c>
      <c r="E4" s="11">
        <f>SUM(MemberOfAssemblyAssemblyDistrict108General[[#This Row],[Part of Albany County Vote Results]:[Part of Saratoga County Vote Results]])</f>
        <v>3286</v>
      </c>
      <c r="F4" s="13"/>
    </row>
    <row r="5" spans="1:6" x14ac:dyDescent="0.2">
      <c r="A5" s="4" t="s">
        <v>0</v>
      </c>
      <c r="B5" s="3">
        <v>2929</v>
      </c>
      <c r="C5" s="3">
        <v>4753</v>
      </c>
      <c r="D5" s="3">
        <v>1032</v>
      </c>
      <c r="E5" s="11">
        <f>SUM(MemberOfAssemblyAssemblyDistrict108General[[#This Row],[Part of Albany County Vote Results]:[Part of Saratoga County Vote Results]])</f>
        <v>8714</v>
      </c>
      <c r="F5" s="13"/>
    </row>
    <row r="6" spans="1:6" x14ac:dyDescent="0.2">
      <c r="A6" s="4" t="s">
        <v>1</v>
      </c>
      <c r="B6" s="3">
        <v>6</v>
      </c>
      <c r="C6" s="3">
        <v>2</v>
      </c>
      <c r="D6" s="3">
        <v>1</v>
      </c>
      <c r="E6" s="11">
        <f>SUM(MemberOfAssemblyAssemblyDistrict108General[[#This Row],[Part of Albany County Vote Results]:[Part of Saratoga County Vote Results]])</f>
        <v>9</v>
      </c>
      <c r="F6" s="13"/>
    </row>
    <row r="7" spans="1:6" x14ac:dyDescent="0.2">
      <c r="A7" s="4" t="s">
        <v>2</v>
      </c>
      <c r="B7" s="5">
        <v>110</v>
      </c>
      <c r="C7" s="5">
        <v>44</v>
      </c>
      <c r="D7" s="5">
        <v>5</v>
      </c>
      <c r="E7" s="11">
        <f>SUM(MemberOfAssemblyAssemblyDistrict108General[[#This Row],[Part of Albany County Vote Results]:[Part of Saratoga County Vote Results]])</f>
        <v>159</v>
      </c>
      <c r="F7" s="13"/>
    </row>
    <row r="8" spans="1:6" hidden="1" x14ac:dyDescent="0.2">
      <c r="A8" s="4" t="s">
        <v>3</v>
      </c>
      <c r="B8" s="6">
        <f>SUBTOTAL(109,MemberOfAssemblyAssemblyDistrict108General[Part of Albany County Vote Results])</f>
        <v>17379</v>
      </c>
      <c r="C8" s="6"/>
      <c r="D8" s="6">
        <f>SUBTOTAL(109,MemberOfAssemblyAssemblyDistrict108General[Part of Saratoga County Vote Results])</f>
        <v>3221</v>
      </c>
      <c r="E8" s="11">
        <f>SUM(MemberOfAssemblyAssemblyDistrict107General[[#This Row],[Part of Columbia County Vote Results]:[Part of Washington County Vote Results]])</f>
        <v>1353</v>
      </c>
      <c r="F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10CF-94E7-4878-B8C2-03FB56E42B2C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620</v>
      </c>
    </row>
    <row r="2" spans="1:4" ht="25.5" x14ac:dyDescent="0.2">
      <c r="A2" s="7" t="s">
        <v>5</v>
      </c>
      <c r="B2" s="8" t="s">
        <v>25</v>
      </c>
      <c r="C2" s="9" t="s">
        <v>869</v>
      </c>
      <c r="D2" s="10" t="s">
        <v>4</v>
      </c>
    </row>
    <row r="3" spans="1:4" x14ac:dyDescent="0.2">
      <c r="A3" s="2" t="s">
        <v>621</v>
      </c>
      <c r="B3" s="3">
        <v>35150</v>
      </c>
      <c r="C3" s="11">
        <f>MemberOfAssemblyAssemblyDistrict109General[[#This Row],[Part of Albany County Vote Results]]</f>
        <v>35150</v>
      </c>
      <c r="D3" s="12">
        <f>SUM(MemberOfAssemblyAssemblyDistrict109General[[#This Row],[Total Votes by Party]],C6:C7)</f>
        <v>39563</v>
      </c>
    </row>
    <row r="4" spans="1:4" x14ac:dyDescent="0.2">
      <c r="A4" s="2" t="s">
        <v>622</v>
      </c>
      <c r="B4" s="3">
        <v>13106</v>
      </c>
      <c r="C4" s="11">
        <f>MemberOfAssemblyAssemblyDistrict109General[[#This Row],[Part of Albany County Vote Results]]</f>
        <v>13106</v>
      </c>
      <c r="D4" s="12">
        <f>MemberOfAssemblyAssemblyDistrict109General[[#This Row],[Total Votes by Party]]</f>
        <v>13106</v>
      </c>
    </row>
    <row r="5" spans="1:4" x14ac:dyDescent="0.2">
      <c r="A5" s="2" t="s">
        <v>623</v>
      </c>
      <c r="B5" s="3">
        <v>2822</v>
      </c>
      <c r="C5" s="11">
        <f>MemberOfAssemblyAssemblyDistrict109General[[#This Row],[Part of Albany County Vote Results]]</f>
        <v>2822</v>
      </c>
      <c r="D5" s="12">
        <f>MemberOfAssemblyAssemblyDistrict109General[[#This Row],[Total Votes by Party]]</f>
        <v>2822</v>
      </c>
    </row>
    <row r="6" spans="1:4" x14ac:dyDescent="0.2">
      <c r="A6" s="2" t="s">
        <v>624</v>
      </c>
      <c r="B6" s="3">
        <v>2806</v>
      </c>
      <c r="C6" s="11">
        <f>MemberOfAssemblyAssemblyDistrict109General[[#This Row],[Part of Albany County Vote Results]]</f>
        <v>2806</v>
      </c>
      <c r="D6" s="13"/>
    </row>
    <row r="7" spans="1:4" x14ac:dyDescent="0.2">
      <c r="A7" s="2" t="s">
        <v>625</v>
      </c>
      <c r="B7" s="3">
        <v>1607</v>
      </c>
      <c r="C7" s="11">
        <f>MemberOfAssemblyAssemblyDistrict109General[[#This Row],[Part of Albany County Vote Results]]</f>
        <v>1607</v>
      </c>
      <c r="D7" s="13"/>
    </row>
    <row r="8" spans="1:4" x14ac:dyDescent="0.2">
      <c r="A8" s="4" t="s">
        <v>0</v>
      </c>
      <c r="B8" s="5">
        <v>1709</v>
      </c>
      <c r="C8" s="11">
        <f>MemberOfAssemblyAssemblyDistrict109General[[#This Row],[Part of Albany County Vote Results]]</f>
        <v>1709</v>
      </c>
      <c r="D8" s="13"/>
    </row>
    <row r="9" spans="1:4" x14ac:dyDescent="0.2">
      <c r="A9" s="4" t="s">
        <v>1</v>
      </c>
      <c r="B9" s="5">
        <v>15</v>
      </c>
      <c r="C9" s="11">
        <f>MemberOfAssemblyAssemblyDistrict109General[[#This Row],[Part of Albany County Vote Results]]</f>
        <v>15</v>
      </c>
      <c r="D9" s="13"/>
    </row>
    <row r="10" spans="1:4" x14ac:dyDescent="0.2">
      <c r="A10" s="4" t="s">
        <v>2</v>
      </c>
      <c r="B10" s="5">
        <v>42</v>
      </c>
      <c r="C10" s="11">
        <f>MemberOfAssemblyAssemblyDistrict109General[[#This Row],[Part of Albany County Vote Results]]</f>
        <v>42</v>
      </c>
      <c r="D10" s="13"/>
    </row>
    <row r="11" spans="1:4" hidden="1" x14ac:dyDescent="0.2">
      <c r="A11" s="4" t="s">
        <v>3</v>
      </c>
      <c r="B11" s="6">
        <f>SUBTOTAL(109,MemberOfAssemblyAssemblyDistrict109General[Total Votes by Candidate])</f>
        <v>55491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F5B4-9CD9-4DF2-8BC1-595D3704A459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134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135</v>
      </c>
      <c r="B3" s="3">
        <v>22274</v>
      </c>
      <c r="C3" s="11">
        <f>MemberOfAssemblyAssemblyDistrict11General[[#This Row],[Part of Suffolk County Vote Results]]</f>
        <v>22274</v>
      </c>
      <c r="D3" s="12">
        <f>SUM(MemberOfAssemblyAssemblyDistrict11General[[#This Row],[Total Votes by Party]],C6:C8)</f>
        <v>23485</v>
      </c>
    </row>
    <row r="4" spans="1:4" x14ac:dyDescent="0.2">
      <c r="A4" s="2" t="s">
        <v>136</v>
      </c>
      <c r="B4" s="3">
        <v>11631</v>
      </c>
      <c r="C4" s="11">
        <f>MemberOfAssemblyAssemblyDistrict11General[[#This Row],[Part of Suffolk County Vote Results]]</f>
        <v>11631</v>
      </c>
      <c r="D4" s="12">
        <f>SUM(C4:C5)</f>
        <v>13006</v>
      </c>
    </row>
    <row r="5" spans="1:4" x14ac:dyDescent="0.2">
      <c r="A5" s="2" t="s">
        <v>137</v>
      </c>
      <c r="B5" s="3">
        <v>1375</v>
      </c>
      <c r="C5" s="11">
        <f>MemberOfAssemblyAssemblyDistrict11General[[#This Row],[Part of Suffolk County Vote Results]]</f>
        <v>1375</v>
      </c>
      <c r="D5" s="13"/>
    </row>
    <row r="6" spans="1:4" x14ac:dyDescent="0.2">
      <c r="A6" s="2" t="s">
        <v>138</v>
      </c>
      <c r="B6" s="3">
        <v>528</v>
      </c>
      <c r="C6" s="11">
        <f>MemberOfAssemblyAssemblyDistrict11General[[#This Row],[Part of Suffolk County Vote Results]]</f>
        <v>528</v>
      </c>
      <c r="D6" s="13"/>
    </row>
    <row r="7" spans="1:4" x14ac:dyDescent="0.2">
      <c r="A7" s="2" t="s">
        <v>139</v>
      </c>
      <c r="B7" s="3">
        <v>455</v>
      </c>
      <c r="C7" s="11">
        <f>MemberOfAssemblyAssemblyDistrict11General[[#This Row],[Part of Suffolk County Vote Results]]</f>
        <v>455</v>
      </c>
      <c r="D7" s="13"/>
    </row>
    <row r="8" spans="1:4" x14ac:dyDescent="0.2">
      <c r="A8" s="2" t="s">
        <v>140</v>
      </c>
      <c r="B8" s="3">
        <v>228</v>
      </c>
      <c r="C8" s="11">
        <f>MemberOfAssemblyAssemblyDistrict11General[[#This Row],[Part of Suffolk County Vote Results]]</f>
        <v>228</v>
      </c>
      <c r="D8" s="13"/>
    </row>
    <row r="9" spans="1:4" x14ac:dyDescent="0.2">
      <c r="A9" s="4" t="s">
        <v>0</v>
      </c>
      <c r="B9" s="5">
        <v>1437</v>
      </c>
      <c r="C9" s="11">
        <f>MemberOfAssemblyAssemblyDistrict11General[[#This Row],[Part of Suffolk County Vote Results]]</f>
        <v>1437</v>
      </c>
      <c r="D9" s="13"/>
    </row>
    <row r="10" spans="1:4" x14ac:dyDescent="0.2">
      <c r="A10" s="4" t="s">
        <v>1</v>
      </c>
      <c r="B10" s="5">
        <v>8</v>
      </c>
      <c r="C10" s="11">
        <f>MemberOfAssemblyAssemblyDistrict11General[[#This Row],[Part of Suffolk County Vote Results]]</f>
        <v>8</v>
      </c>
      <c r="D10" s="13"/>
    </row>
    <row r="11" spans="1:4" x14ac:dyDescent="0.2">
      <c r="A11" s="4" t="s">
        <v>2</v>
      </c>
      <c r="B11" s="5">
        <v>3</v>
      </c>
      <c r="C11" s="11">
        <f>MemberOfAssemblyAssemblyDistrict11General[[#This Row],[Part of Suffolk County Vote Results]]</f>
        <v>3</v>
      </c>
      <c r="D11" s="13"/>
    </row>
    <row r="12" spans="1:4" hidden="1" x14ac:dyDescent="0.2">
      <c r="A12" s="4" t="s">
        <v>3</v>
      </c>
      <c r="B12" s="6">
        <f>SUBTOTAL(109,MemberOfAssemblyAssemblyDistrict11General[Total Votes by Candidate])</f>
        <v>36491</v>
      </c>
      <c r="C12" s="11">
        <f>SUM(MemberOfAssemblyAssemblyDistrict9General[[#This Row],[Part of Nassau County Vote Results]:[Part of Suffolk County Vote Results]])</f>
        <v>6</v>
      </c>
      <c r="D12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8D20-9294-42BF-A747-FC9313114ED3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626</v>
      </c>
    </row>
    <row r="2" spans="1:5" ht="25.5" x14ac:dyDescent="0.2">
      <c r="A2" s="7" t="s">
        <v>5</v>
      </c>
      <c r="B2" s="8" t="s">
        <v>25</v>
      </c>
      <c r="C2" s="8" t="s">
        <v>31</v>
      </c>
      <c r="D2" s="9" t="s">
        <v>869</v>
      </c>
      <c r="E2" s="10" t="s">
        <v>4</v>
      </c>
    </row>
    <row r="3" spans="1:5" x14ac:dyDescent="0.2">
      <c r="A3" s="2" t="s">
        <v>627</v>
      </c>
      <c r="B3" s="3">
        <v>17405</v>
      </c>
      <c r="C3" s="3">
        <v>11145</v>
      </c>
      <c r="D3" s="11">
        <f>SUM(MemberOfAssemblyAssemblyDistrict110General[[#This Row],[Part of Albany County Vote Results]:[Part of Schenectady County Vote Results]])</f>
        <v>28550</v>
      </c>
      <c r="E3" s="12">
        <f>SUM(MemberOfAssemblyAssemblyDistrict110General[[#This Row],[Total Votes by Party]],D6:D9)</f>
        <v>31717</v>
      </c>
    </row>
    <row r="4" spans="1:5" x14ac:dyDescent="0.2">
      <c r="A4" s="2" t="s">
        <v>628</v>
      </c>
      <c r="B4" s="3">
        <v>12429</v>
      </c>
      <c r="C4" s="3">
        <v>5423</v>
      </c>
      <c r="D4" s="11">
        <f>SUM(MemberOfAssemblyAssemblyDistrict110General[[#This Row],[Part of Albany County Vote Results]:[Part of Schenectady County Vote Results]])</f>
        <v>17852</v>
      </c>
      <c r="E4" s="12">
        <f>SUM(D4:D5)</f>
        <v>20840</v>
      </c>
    </row>
    <row r="5" spans="1:5" x14ac:dyDescent="0.2">
      <c r="A5" s="2" t="s">
        <v>629</v>
      </c>
      <c r="B5" s="3">
        <v>2042</v>
      </c>
      <c r="C5" s="3">
        <v>946</v>
      </c>
      <c r="D5" s="11">
        <f>SUM(MemberOfAssemblyAssemblyDistrict110General[[#This Row],[Part of Albany County Vote Results]:[Part of Schenectady County Vote Results]])</f>
        <v>2988</v>
      </c>
      <c r="E5" s="13"/>
    </row>
    <row r="6" spans="1:5" x14ac:dyDescent="0.2">
      <c r="A6" s="2" t="s">
        <v>630</v>
      </c>
      <c r="B6" s="3">
        <v>726</v>
      </c>
      <c r="C6" s="3">
        <v>573</v>
      </c>
      <c r="D6" s="11">
        <f>SUM(MemberOfAssemblyAssemblyDistrict110General[[#This Row],[Part of Albany County Vote Results]:[Part of Schenectady County Vote Results]])</f>
        <v>1299</v>
      </c>
      <c r="E6" s="13"/>
    </row>
    <row r="7" spans="1:5" x14ac:dyDescent="0.2">
      <c r="A7" s="2" t="s">
        <v>631</v>
      </c>
      <c r="B7" s="3">
        <v>751</v>
      </c>
      <c r="C7" s="3">
        <v>445</v>
      </c>
      <c r="D7" s="11">
        <f>SUM(MemberOfAssemblyAssemblyDistrict110General[[#This Row],[Part of Albany County Vote Results]:[Part of Schenectady County Vote Results]])</f>
        <v>1196</v>
      </c>
      <c r="E7" s="13"/>
    </row>
    <row r="8" spans="1:5" x14ac:dyDescent="0.2">
      <c r="A8" s="2" t="s">
        <v>632</v>
      </c>
      <c r="B8" s="3">
        <v>292</v>
      </c>
      <c r="C8" s="3">
        <v>201</v>
      </c>
      <c r="D8" s="11">
        <f>SUM(MemberOfAssemblyAssemblyDistrict110General[[#This Row],[Part of Albany County Vote Results]:[Part of Schenectady County Vote Results]])</f>
        <v>493</v>
      </c>
      <c r="E8" s="13"/>
    </row>
    <row r="9" spans="1:5" x14ac:dyDescent="0.2">
      <c r="A9" s="2" t="s">
        <v>633</v>
      </c>
      <c r="B9" s="3">
        <v>116</v>
      </c>
      <c r="C9" s="3">
        <v>63</v>
      </c>
      <c r="D9" s="11">
        <f>SUM(MemberOfAssemblyAssemblyDistrict110General[[#This Row],[Part of Albany County Vote Results]:[Part of Schenectady County Vote Results]])</f>
        <v>179</v>
      </c>
      <c r="E9" s="13"/>
    </row>
    <row r="10" spans="1:5" x14ac:dyDescent="0.2">
      <c r="A10" s="4" t="s">
        <v>0</v>
      </c>
      <c r="B10" s="3">
        <v>848</v>
      </c>
      <c r="C10" s="3">
        <v>536</v>
      </c>
      <c r="D10" s="11">
        <f>SUM(MemberOfAssemblyAssemblyDistrict110General[[#This Row],[Part of Albany County Vote Results]:[Part of Schenectady County Vote Results]])</f>
        <v>1384</v>
      </c>
      <c r="E10" s="13"/>
    </row>
    <row r="11" spans="1:5" x14ac:dyDescent="0.2">
      <c r="A11" s="4" t="s">
        <v>1</v>
      </c>
      <c r="B11" s="3">
        <v>19</v>
      </c>
      <c r="C11" s="3">
        <v>11</v>
      </c>
      <c r="D11" s="11">
        <f>SUM(MemberOfAssemblyAssemblyDistrict110General[[#This Row],[Part of Albany County Vote Results]:[Part of Schenectady County Vote Results]])</f>
        <v>30</v>
      </c>
      <c r="E11" s="13"/>
    </row>
    <row r="12" spans="1:5" x14ac:dyDescent="0.2">
      <c r="A12" s="4" t="s">
        <v>2</v>
      </c>
      <c r="B12" s="5">
        <v>30</v>
      </c>
      <c r="C12" s="5">
        <v>12</v>
      </c>
      <c r="D12" s="11">
        <f>SUM(MemberOfAssemblyAssemblyDistrict110General[[#This Row],[Part of Albany County Vote Results]:[Part of Schenectady County Vote Results]])</f>
        <v>42</v>
      </c>
      <c r="E12" s="13"/>
    </row>
    <row r="13" spans="1:5" hidden="1" x14ac:dyDescent="0.2">
      <c r="A13" s="4" t="s">
        <v>3</v>
      </c>
      <c r="B13" s="6">
        <f>SUBTOTAL(109,MemberOfAssemblyAssemblyDistrict110General[Part of Albany County Vote Results])</f>
        <v>34658</v>
      </c>
      <c r="C13" s="6">
        <f>SUBTOTAL(109,MemberOfAssemblyAssemblyDistrict110General[Part of Schenectady County Vote Results])</f>
        <v>19355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223D-A7AF-4B78-AE05-5B8C84558722}">
  <sheetPr>
    <pageSetUpPr fitToPage="1"/>
  </sheetPr>
  <dimension ref="A1:F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634</v>
      </c>
    </row>
    <row r="2" spans="1:6" ht="25.5" x14ac:dyDescent="0.2">
      <c r="A2" s="7" t="s">
        <v>5</v>
      </c>
      <c r="B2" s="8" t="s">
        <v>32</v>
      </c>
      <c r="C2" s="8" t="s">
        <v>25</v>
      </c>
      <c r="D2" s="8" t="s">
        <v>31</v>
      </c>
      <c r="E2" s="9" t="s">
        <v>869</v>
      </c>
      <c r="F2" s="10" t="s">
        <v>4</v>
      </c>
    </row>
    <row r="3" spans="1:6" x14ac:dyDescent="0.2">
      <c r="A3" s="2" t="s">
        <v>635</v>
      </c>
      <c r="B3" s="3">
        <v>7304</v>
      </c>
      <c r="C3" s="3">
        <v>1127</v>
      </c>
      <c r="D3" s="3">
        <v>11202</v>
      </c>
      <c r="E3" s="11">
        <f>SUM(MemberOfAssemblyAssemblyDistrict111General[[#This Row],[Montgomery County Vote Results]:[Part of Schenectady County Vote Results]])</f>
        <v>19633</v>
      </c>
      <c r="F3" s="12">
        <f>SUM(MemberOfAssemblyAssemblyDistrict111General[[#This Row],[Total Votes by Party]],E7:E10)</f>
        <v>22175</v>
      </c>
    </row>
    <row r="4" spans="1:6" x14ac:dyDescent="0.2">
      <c r="A4" s="2" t="s">
        <v>636</v>
      </c>
      <c r="B4" s="3">
        <v>5967</v>
      </c>
      <c r="C4" s="3">
        <v>1050</v>
      </c>
      <c r="D4" s="3">
        <v>8372</v>
      </c>
      <c r="E4" s="11">
        <f>SUM(MemberOfAssemblyAssemblyDistrict111General[[#This Row],[Montgomery County Vote Results]:[Part of Schenectady County Vote Results]])</f>
        <v>15389</v>
      </c>
      <c r="F4" s="12">
        <f>SUM(E4:E6)</f>
        <v>18655</v>
      </c>
    </row>
    <row r="5" spans="1:6" x14ac:dyDescent="0.2">
      <c r="A5" s="2" t="s">
        <v>637</v>
      </c>
      <c r="B5" s="3">
        <v>1045</v>
      </c>
      <c r="C5" s="3">
        <v>259</v>
      </c>
      <c r="D5" s="3">
        <v>1621</v>
      </c>
      <c r="E5" s="11">
        <f>SUM(MemberOfAssemblyAssemblyDistrict111General[[#This Row],[Montgomery County Vote Results]:[Part of Schenectady County Vote Results]])</f>
        <v>2925</v>
      </c>
      <c r="F5" s="13"/>
    </row>
    <row r="6" spans="1:6" x14ac:dyDescent="0.2">
      <c r="A6" s="2" t="s">
        <v>638</v>
      </c>
      <c r="B6" s="3">
        <v>102</v>
      </c>
      <c r="C6" s="3">
        <v>31</v>
      </c>
      <c r="D6" s="3">
        <v>208</v>
      </c>
      <c r="E6" s="11">
        <f>SUM(MemberOfAssemblyAssemblyDistrict111General[[#This Row],[Montgomery County Vote Results]:[Part of Schenectady County Vote Results]])</f>
        <v>341</v>
      </c>
      <c r="F6" s="13"/>
    </row>
    <row r="7" spans="1:6" x14ac:dyDescent="0.2">
      <c r="A7" s="2" t="s">
        <v>639</v>
      </c>
      <c r="B7" s="3">
        <v>422</v>
      </c>
      <c r="C7" s="3">
        <v>75</v>
      </c>
      <c r="D7" s="3">
        <v>547</v>
      </c>
      <c r="E7" s="11">
        <f>SUM(MemberOfAssemblyAssemblyDistrict111General[[#This Row],[Montgomery County Vote Results]:[Part of Schenectady County Vote Results]])</f>
        <v>1044</v>
      </c>
      <c r="F7" s="13"/>
    </row>
    <row r="8" spans="1:6" x14ac:dyDescent="0.2">
      <c r="A8" s="2" t="s">
        <v>640</v>
      </c>
      <c r="B8" s="3">
        <v>404</v>
      </c>
      <c r="C8" s="3">
        <v>68</v>
      </c>
      <c r="D8" s="3">
        <v>563</v>
      </c>
      <c r="E8" s="11">
        <f>SUM(MemberOfAssemblyAssemblyDistrict111General[[#This Row],[Montgomery County Vote Results]:[Part of Schenectady County Vote Results]])</f>
        <v>1035</v>
      </c>
      <c r="F8" s="13"/>
    </row>
    <row r="9" spans="1:6" x14ac:dyDescent="0.2">
      <c r="A9" s="2" t="s">
        <v>641</v>
      </c>
      <c r="B9" s="3">
        <v>92</v>
      </c>
      <c r="C9" s="3">
        <v>26</v>
      </c>
      <c r="D9" s="3">
        <v>178</v>
      </c>
      <c r="E9" s="11">
        <f>SUM(MemberOfAssemblyAssemblyDistrict111General[[#This Row],[Montgomery County Vote Results]:[Part of Schenectady County Vote Results]])</f>
        <v>296</v>
      </c>
      <c r="F9" s="13"/>
    </row>
    <row r="10" spans="1:6" x14ac:dyDescent="0.2">
      <c r="A10" s="2" t="s">
        <v>642</v>
      </c>
      <c r="B10" s="3">
        <v>70</v>
      </c>
      <c r="C10" s="3">
        <v>16</v>
      </c>
      <c r="D10" s="3">
        <v>81</v>
      </c>
      <c r="E10" s="11">
        <f>SUM(MemberOfAssemblyAssemblyDistrict111General[[#This Row],[Montgomery County Vote Results]:[Part of Schenectady County Vote Results]])</f>
        <v>167</v>
      </c>
      <c r="F10" s="13"/>
    </row>
    <row r="11" spans="1:6" x14ac:dyDescent="0.2">
      <c r="A11" s="4" t="s">
        <v>0</v>
      </c>
      <c r="B11" s="3">
        <v>385</v>
      </c>
      <c r="C11" s="3">
        <v>64</v>
      </c>
      <c r="D11" s="3">
        <v>306</v>
      </c>
      <c r="E11" s="11">
        <f>SUM(MemberOfAssemblyAssemblyDistrict111General[[#This Row],[Montgomery County Vote Results]:[Part of Schenectady County Vote Results]])</f>
        <v>755</v>
      </c>
      <c r="F11" s="13"/>
    </row>
    <row r="12" spans="1:6" x14ac:dyDescent="0.2">
      <c r="A12" s="4" t="s">
        <v>1</v>
      </c>
      <c r="B12" s="3">
        <v>14</v>
      </c>
      <c r="C12" s="3">
        <v>0</v>
      </c>
      <c r="D12" s="3">
        <v>44</v>
      </c>
      <c r="E12" s="11">
        <f>SUM(MemberOfAssemblyAssemblyDistrict111General[[#This Row],[Montgomery County Vote Results]:[Part of Schenectady County Vote Results]])</f>
        <v>58</v>
      </c>
      <c r="F12" s="13"/>
    </row>
    <row r="13" spans="1:6" x14ac:dyDescent="0.2">
      <c r="A13" s="4" t="s">
        <v>2</v>
      </c>
      <c r="B13" s="5">
        <v>3</v>
      </c>
      <c r="C13" s="5">
        <v>2</v>
      </c>
      <c r="D13" s="5">
        <v>8</v>
      </c>
      <c r="E13" s="11">
        <f>SUM(MemberOfAssemblyAssemblyDistrict111General[[#This Row],[Montgomery County Vote Results]:[Part of Schenectady County Vote Results]])</f>
        <v>13</v>
      </c>
      <c r="F13" s="13"/>
    </row>
    <row r="14" spans="1:6" hidden="1" x14ac:dyDescent="0.2">
      <c r="A14" s="4" t="s">
        <v>3</v>
      </c>
      <c r="B14" s="6">
        <f>SUBTOTAL(109,MemberOfAssemblyAssemblyDistrict111General[Montgomery County Vote Results])</f>
        <v>15808</v>
      </c>
      <c r="C14" s="6"/>
      <c r="D14" s="6">
        <f>SUBTOTAL(109,MemberOfAssemblyAssemblyDistrict111General[Part of Schenectady County Vote Results])</f>
        <v>23130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E9F6-6F96-40C3-996D-9C043E4CCEC3}">
  <sheetPr>
    <pageSetUpPr fitToPage="1"/>
  </sheetPr>
  <dimension ref="A1:E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643</v>
      </c>
    </row>
    <row r="2" spans="1:5" ht="25.5" x14ac:dyDescent="0.2">
      <c r="A2" s="7" t="s">
        <v>5</v>
      </c>
      <c r="B2" s="8" t="s">
        <v>30</v>
      </c>
      <c r="C2" s="8" t="s">
        <v>31</v>
      </c>
      <c r="D2" s="9" t="s">
        <v>869</v>
      </c>
      <c r="E2" s="10" t="s">
        <v>4</v>
      </c>
    </row>
    <row r="3" spans="1:5" x14ac:dyDescent="0.2">
      <c r="A3" s="2" t="s">
        <v>644</v>
      </c>
      <c r="B3" s="3">
        <v>25197</v>
      </c>
      <c r="C3" s="3">
        <v>6762</v>
      </c>
      <c r="D3" s="11">
        <f>SUM(MemberOfAssemblyAssemblyDistrict112General[[#This Row],[Part of Saratoga County Vote Results]:[Part of Schenectady County Vote Results]])</f>
        <v>31959</v>
      </c>
      <c r="E3" s="12">
        <f>SUM(D3:D6)</f>
        <v>43666</v>
      </c>
    </row>
    <row r="4" spans="1:5" x14ac:dyDescent="0.2">
      <c r="A4" s="2" t="s">
        <v>645</v>
      </c>
      <c r="B4" s="3">
        <v>3961</v>
      </c>
      <c r="C4" s="3">
        <v>1197</v>
      </c>
      <c r="D4" s="11">
        <f>SUM(MemberOfAssemblyAssemblyDistrict112General[[#This Row],[Part of Saratoga County Vote Results]:[Part of Schenectady County Vote Results]])</f>
        <v>5158</v>
      </c>
      <c r="E4" s="13"/>
    </row>
    <row r="5" spans="1:5" x14ac:dyDescent="0.2">
      <c r="A5" s="2" t="s">
        <v>646</v>
      </c>
      <c r="B5" s="3">
        <v>4527</v>
      </c>
      <c r="C5" s="3">
        <v>1207</v>
      </c>
      <c r="D5" s="11">
        <f>SUM(MemberOfAssemblyAssemblyDistrict112General[[#This Row],[Part of Saratoga County Vote Results]:[Part of Schenectady County Vote Results]])</f>
        <v>5734</v>
      </c>
      <c r="E5" s="13"/>
    </row>
    <row r="6" spans="1:5" x14ac:dyDescent="0.2">
      <c r="A6" s="2" t="s">
        <v>647</v>
      </c>
      <c r="B6" s="3">
        <v>637</v>
      </c>
      <c r="C6" s="3">
        <v>178</v>
      </c>
      <c r="D6" s="11">
        <f>SUM(MemberOfAssemblyAssemblyDistrict112General[[#This Row],[Part of Saratoga County Vote Results]:[Part of Schenectady County Vote Results]])</f>
        <v>815</v>
      </c>
      <c r="E6" s="13"/>
    </row>
    <row r="7" spans="1:5" x14ac:dyDescent="0.2">
      <c r="A7" s="4" t="s">
        <v>0</v>
      </c>
      <c r="B7" s="3">
        <v>13367</v>
      </c>
      <c r="C7" s="3">
        <v>4019</v>
      </c>
      <c r="D7" s="11">
        <f>SUM(MemberOfAssemblyAssemblyDistrict112General[[#This Row],[Part of Saratoga County Vote Results]:[Part of Schenectady County Vote Results]])</f>
        <v>17386</v>
      </c>
      <c r="E7" s="13"/>
    </row>
    <row r="8" spans="1:5" x14ac:dyDescent="0.2">
      <c r="A8" s="4" t="s">
        <v>1</v>
      </c>
      <c r="B8" s="3">
        <v>3</v>
      </c>
      <c r="C8" s="3">
        <v>1</v>
      </c>
      <c r="D8" s="11">
        <f>SUM(MemberOfAssemblyAssemblyDistrict112General[[#This Row],[Part of Saratoga County Vote Results]:[Part of Schenectady County Vote Results]])</f>
        <v>4</v>
      </c>
      <c r="E8" s="13"/>
    </row>
    <row r="9" spans="1:5" x14ac:dyDescent="0.2">
      <c r="A9" s="4" t="s">
        <v>2</v>
      </c>
      <c r="B9" s="5">
        <v>330</v>
      </c>
      <c r="C9" s="5">
        <v>137</v>
      </c>
      <c r="D9" s="11">
        <f>SUM(MemberOfAssemblyAssemblyDistrict112General[[#This Row],[Part of Saratoga County Vote Results]:[Part of Schenectady County Vote Results]])</f>
        <v>467</v>
      </c>
      <c r="E9" s="13"/>
    </row>
    <row r="10" spans="1:5" hidden="1" x14ac:dyDescent="0.2">
      <c r="A10" s="4" t="s">
        <v>3</v>
      </c>
      <c r="B10" s="6">
        <f>SUBTOTAL(109,MemberOfAssemblyAssemblyDistrict112General[Part of Saratoga County Vote Results])</f>
        <v>48022</v>
      </c>
      <c r="C10" s="6">
        <f>SUBTOTAL(109,MemberOfAssemblyAssemblyDistrict112General[Part of Schenectady County Vote Results])</f>
        <v>13501</v>
      </c>
      <c r="D10" s="11">
        <f>SUM(MemberOfAssemblyAssemblyDistrict111General[[#This Row],[Montgomery County Vote Results]:[Part of Schenectady County Vote Results]])</f>
        <v>167</v>
      </c>
      <c r="E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2ACC-F666-4E76-A30B-0324C0558C3B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648</v>
      </c>
    </row>
    <row r="2" spans="1:5" ht="25.5" x14ac:dyDescent="0.2">
      <c r="A2" s="7" t="s">
        <v>5</v>
      </c>
      <c r="B2" s="8" t="s">
        <v>30</v>
      </c>
      <c r="C2" s="8" t="s">
        <v>29</v>
      </c>
      <c r="D2" s="9" t="s">
        <v>869</v>
      </c>
      <c r="E2" s="10" t="s">
        <v>4</v>
      </c>
    </row>
    <row r="3" spans="1:5" x14ac:dyDescent="0.2">
      <c r="A3" s="2" t="s">
        <v>649</v>
      </c>
      <c r="B3" s="3">
        <v>22123</v>
      </c>
      <c r="C3" s="3">
        <v>5942</v>
      </c>
      <c r="D3" s="11">
        <f>SUM(MemberOfAssemblyAssemblyDistrict113General[[#This Row],[Part of Saratoga County Vote Results]:[Part of Washington County Vote Results]])</f>
        <v>28065</v>
      </c>
      <c r="E3" s="12">
        <f>SUM(MemberOfAssemblyAssemblyDistrict113General[[#This Row],[Total Votes by Party]],D6)</f>
        <v>30342</v>
      </c>
    </row>
    <row r="4" spans="1:5" x14ac:dyDescent="0.2">
      <c r="A4" s="2" t="s">
        <v>650</v>
      </c>
      <c r="B4" s="3">
        <v>14736</v>
      </c>
      <c r="C4" s="3">
        <v>4937</v>
      </c>
      <c r="D4" s="11">
        <f>SUM(MemberOfAssemblyAssemblyDistrict113General[[#This Row],[Part of Saratoga County Vote Results]:[Part of Washington County Vote Results]])</f>
        <v>19673</v>
      </c>
      <c r="E4" s="12">
        <f>SUM(D4:D5,D7)</f>
        <v>23045</v>
      </c>
    </row>
    <row r="5" spans="1:5" x14ac:dyDescent="0.2">
      <c r="A5" s="2" t="s">
        <v>651</v>
      </c>
      <c r="B5" s="3">
        <v>2310</v>
      </c>
      <c r="C5" s="3">
        <v>796</v>
      </c>
      <c r="D5" s="11">
        <f>SUM(MemberOfAssemblyAssemblyDistrict113General[[#This Row],[Part of Saratoga County Vote Results]:[Part of Washington County Vote Results]])</f>
        <v>3106</v>
      </c>
      <c r="E5" s="13"/>
    </row>
    <row r="6" spans="1:5" x14ac:dyDescent="0.2">
      <c r="A6" s="2" t="s">
        <v>652</v>
      </c>
      <c r="B6" s="3">
        <v>1713</v>
      </c>
      <c r="C6" s="3">
        <v>564</v>
      </c>
      <c r="D6" s="11">
        <f>SUM(MemberOfAssemblyAssemblyDistrict113General[[#This Row],[Part of Saratoga County Vote Results]:[Part of Washington County Vote Results]])</f>
        <v>2277</v>
      </c>
      <c r="E6" s="13"/>
    </row>
    <row r="7" spans="1:5" x14ac:dyDescent="0.2">
      <c r="A7" s="2" t="s">
        <v>653</v>
      </c>
      <c r="B7" s="3">
        <v>206</v>
      </c>
      <c r="C7" s="3">
        <v>60</v>
      </c>
      <c r="D7" s="11">
        <f>SUM(MemberOfAssemblyAssemblyDistrict113General[[#This Row],[Part of Saratoga County Vote Results]:[Part of Washington County Vote Results]])</f>
        <v>266</v>
      </c>
      <c r="E7" s="13"/>
    </row>
    <row r="8" spans="1:5" x14ac:dyDescent="0.2">
      <c r="A8" s="4" t="s">
        <v>0</v>
      </c>
      <c r="B8" s="3">
        <v>1082</v>
      </c>
      <c r="C8" s="3">
        <v>220</v>
      </c>
      <c r="D8" s="11">
        <f>SUM(MemberOfAssemblyAssemblyDistrict113General[[#This Row],[Part of Saratoga County Vote Results]:[Part of Washington County Vote Results]])</f>
        <v>1302</v>
      </c>
      <c r="E8" s="13"/>
    </row>
    <row r="9" spans="1:5" x14ac:dyDescent="0.2">
      <c r="A9" s="4" t="s">
        <v>1</v>
      </c>
      <c r="B9" s="3">
        <v>12</v>
      </c>
      <c r="C9" s="3">
        <v>3</v>
      </c>
      <c r="D9" s="11">
        <f>SUM(MemberOfAssemblyAssemblyDistrict113General[[#This Row],[Part of Saratoga County Vote Results]:[Part of Washington County Vote Results]])</f>
        <v>15</v>
      </c>
      <c r="E9" s="13"/>
    </row>
    <row r="10" spans="1:5" x14ac:dyDescent="0.2">
      <c r="A10" s="4" t="s">
        <v>2</v>
      </c>
      <c r="B10" s="5">
        <v>18</v>
      </c>
      <c r="C10" s="5">
        <v>0</v>
      </c>
      <c r="D10" s="11">
        <f>SUM(MemberOfAssemblyAssemblyDistrict113General[[#This Row],[Part of Saratoga County Vote Results]:[Part of Washington County Vote Results]])</f>
        <v>18</v>
      </c>
      <c r="E10" s="13"/>
    </row>
    <row r="11" spans="1:5" hidden="1" x14ac:dyDescent="0.2">
      <c r="A11" s="4" t="s">
        <v>3</v>
      </c>
      <c r="B11" s="6">
        <f>SUBTOTAL(109,MemberOfAssemblyAssemblyDistrict113General[Part of Saratoga County Vote Results])</f>
        <v>42200</v>
      </c>
      <c r="C11" s="6">
        <f>SUBTOTAL(109,MemberOfAssemblyAssemblyDistrict113General[Part of Washington County Vote Results])</f>
        <v>12522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4A6B-DA82-4174-A8B6-475D24D54918}">
  <sheetPr>
    <pageSetUpPr fitToPage="1"/>
  </sheetPr>
  <dimension ref="A1:G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654</v>
      </c>
    </row>
    <row r="2" spans="1:7" ht="25.5" x14ac:dyDescent="0.2">
      <c r="A2" s="7" t="s">
        <v>5</v>
      </c>
      <c r="B2" s="8" t="s">
        <v>33</v>
      </c>
      <c r="C2" s="8" t="s">
        <v>34</v>
      </c>
      <c r="D2" s="8" t="s">
        <v>30</v>
      </c>
      <c r="E2" s="8" t="s">
        <v>29</v>
      </c>
      <c r="F2" s="9" t="s">
        <v>869</v>
      </c>
      <c r="G2" s="10" t="s">
        <v>4</v>
      </c>
    </row>
    <row r="3" spans="1:7" x14ac:dyDescent="0.2">
      <c r="A3" s="2" t="s">
        <v>655</v>
      </c>
      <c r="B3" s="3">
        <v>7585</v>
      </c>
      <c r="C3" s="3">
        <v>14629</v>
      </c>
      <c r="D3" s="3">
        <v>2472</v>
      </c>
      <c r="E3" s="3">
        <v>3772</v>
      </c>
      <c r="F3" s="11">
        <f>SUM(MemberOfAssemblyAssemblyDistrict114General[[#This Row],[Essex County Vote Results]:[Part of Washington County Vote Results]])</f>
        <v>28458</v>
      </c>
      <c r="G3" s="12">
        <f>SUM(F3:F4,F6)</f>
        <v>33889</v>
      </c>
    </row>
    <row r="4" spans="1:7" x14ac:dyDescent="0.2">
      <c r="A4" s="2" t="s">
        <v>656</v>
      </c>
      <c r="B4" s="3">
        <v>609</v>
      </c>
      <c r="C4" s="3">
        <v>1660</v>
      </c>
      <c r="D4" s="3">
        <v>314</v>
      </c>
      <c r="E4" s="3">
        <v>370</v>
      </c>
      <c r="F4" s="11">
        <f>SUM(MemberOfAssemblyAssemblyDistrict114General[[#This Row],[Essex County Vote Results]:[Part of Washington County Vote Results]])</f>
        <v>2953</v>
      </c>
      <c r="G4" s="13"/>
    </row>
    <row r="5" spans="1:7" x14ac:dyDescent="0.2">
      <c r="A5" s="2" t="s">
        <v>657</v>
      </c>
      <c r="B5" s="3">
        <v>2425</v>
      </c>
      <c r="C5" s="3">
        <v>4318</v>
      </c>
      <c r="D5" s="3">
        <v>480</v>
      </c>
      <c r="E5" s="3">
        <v>821</v>
      </c>
      <c r="F5" s="11">
        <f>SUM(MemberOfAssemblyAssemblyDistrict114General[[#This Row],[Essex County Vote Results]:[Part of Washington County Vote Results]])</f>
        <v>8044</v>
      </c>
      <c r="G5" s="12">
        <f>MemberOfAssemblyAssemblyDistrict114General[[#This Row],[Total Votes by Party]]</f>
        <v>8044</v>
      </c>
    </row>
    <row r="6" spans="1:7" x14ac:dyDescent="0.2">
      <c r="A6" s="2" t="s">
        <v>658</v>
      </c>
      <c r="B6" s="3">
        <v>644</v>
      </c>
      <c r="C6" s="3">
        <v>1459</v>
      </c>
      <c r="D6" s="3">
        <v>125</v>
      </c>
      <c r="E6" s="3">
        <v>250</v>
      </c>
      <c r="F6" s="11">
        <f>SUM(MemberOfAssemblyAssemblyDistrict114General[[#This Row],[Essex County Vote Results]:[Part of Washington County Vote Results]])</f>
        <v>2478</v>
      </c>
      <c r="G6" s="13"/>
    </row>
    <row r="7" spans="1:7" x14ac:dyDescent="0.2">
      <c r="A7" s="4" t="s">
        <v>0</v>
      </c>
      <c r="B7" s="3">
        <v>3520</v>
      </c>
      <c r="C7" s="3">
        <v>4403</v>
      </c>
      <c r="D7" s="3">
        <v>519</v>
      </c>
      <c r="E7" s="3">
        <v>795</v>
      </c>
      <c r="F7" s="11">
        <f>SUM(MemberOfAssemblyAssemblyDistrict114General[[#This Row],[Essex County Vote Results]:[Part of Washington County Vote Results]])</f>
        <v>9237</v>
      </c>
      <c r="G7" s="13"/>
    </row>
    <row r="8" spans="1:7" x14ac:dyDescent="0.2">
      <c r="A8" s="4" t="s">
        <v>1</v>
      </c>
      <c r="B8" s="3">
        <v>0</v>
      </c>
      <c r="C8" s="3">
        <v>0</v>
      </c>
      <c r="D8" s="3">
        <v>0</v>
      </c>
      <c r="E8" s="3">
        <v>1</v>
      </c>
      <c r="F8" s="11">
        <f>SUM(MemberOfAssemblyAssemblyDistrict114General[[#This Row],[Essex County Vote Results]:[Part of Washington County Vote Results]])</f>
        <v>1</v>
      </c>
      <c r="G8" s="13"/>
    </row>
    <row r="9" spans="1:7" x14ac:dyDescent="0.2">
      <c r="A9" s="4" t="s">
        <v>2</v>
      </c>
      <c r="B9" s="5">
        <v>4</v>
      </c>
      <c r="C9" s="5">
        <v>25</v>
      </c>
      <c r="D9" s="5">
        <v>1</v>
      </c>
      <c r="E9" s="5">
        <v>3</v>
      </c>
      <c r="F9" s="11">
        <f>SUM(MemberOfAssemblyAssemblyDistrict114General[[#This Row],[Essex County Vote Results]:[Part of Washington County Vote Results]])</f>
        <v>33</v>
      </c>
      <c r="G9" s="13"/>
    </row>
    <row r="10" spans="1:7" hidden="1" x14ac:dyDescent="0.2">
      <c r="A10" s="4" t="s">
        <v>3</v>
      </c>
      <c r="B10" s="6">
        <f>SUBTOTAL(109,MemberOfAssemblyAssemblyDistrict114General[Essex County Vote Results])</f>
        <v>14787</v>
      </c>
      <c r="C10" s="6"/>
      <c r="D10" s="6"/>
      <c r="E10" s="6">
        <f>SUBTOTAL(109,MemberOfAssemblyAssemblyDistrict114General[Part of Washington County Vote Results])</f>
        <v>6012</v>
      </c>
      <c r="F10" s="11">
        <f>SUM(MemberOfAssemblyAssemblyDistrict113General[[#This Row],[Part of Saratoga County Vote Results]:[Part of Washington County Vote Results]])</f>
        <v>18</v>
      </c>
      <c r="G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8431-60DF-439A-A04B-66BC10D7C053}">
  <sheetPr>
    <pageSetUpPr fitToPage="1"/>
  </sheetPr>
  <dimension ref="A1:F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659</v>
      </c>
    </row>
    <row r="2" spans="1:6" ht="25.5" x14ac:dyDescent="0.2">
      <c r="A2" s="7" t="s">
        <v>5</v>
      </c>
      <c r="B2" s="8" t="s">
        <v>35</v>
      </c>
      <c r="C2" s="8" t="s">
        <v>36</v>
      </c>
      <c r="D2" s="8" t="s">
        <v>37</v>
      </c>
      <c r="E2" s="9" t="s">
        <v>869</v>
      </c>
      <c r="F2" s="10" t="s">
        <v>4</v>
      </c>
    </row>
    <row r="3" spans="1:6" x14ac:dyDescent="0.2">
      <c r="A3" s="2" t="s">
        <v>660</v>
      </c>
      <c r="B3" s="3">
        <v>16606</v>
      </c>
      <c r="C3" s="3">
        <v>9226</v>
      </c>
      <c r="D3" s="3">
        <v>856</v>
      </c>
      <c r="E3" s="11">
        <f>SUM(MemberOfAssemblyAssemblyDistrict115General[[#This Row],[Clinton County Vote Results]:[Part of St. Lawrence County Vote Results]])</f>
        <v>26688</v>
      </c>
      <c r="F3" s="12">
        <f>SUM(E3:E5)</f>
        <v>31958</v>
      </c>
    </row>
    <row r="4" spans="1:6" x14ac:dyDescent="0.2">
      <c r="A4" s="2" t="s">
        <v>661</v>
      </c>
      <c r="B4" s="3">
        <v>1648</v>
      </c>
      <c r="C4" s="3">
        <v>873</v>
      </c>
      <c r="D4" s="3">
        <v>99</v>
      </c>
      <c r="E4" s="11">
        <f>SUM(MemberOfAssemblyAssemblyDistrict115General[[#This Row],[Clinton County Vote Results]:[Part of St. Lawrence County Vote Results]])</f>
        <v>2620</v>
      </c>
      <c r="F4" s="13"/>
    </row>
    <row r="5" spans="1:6" x14ac:dyDescent="0.2">
      <c r="A5" s="2" t="s">
        <v>662</v>
      </c>
      <c r="B5" s="3">
        <v>1632</v>
      </c>
      <c r="C5" s="3">
        <v>917</v>
      </c>
      <c r="D5" s="3">
        <v>101</v>
      </c>
      <c r="E5" s="11">
        <f>SUM(MemberOfAssemblyAssemblyDistrict115General[[#This Row],[Clinton County Vote Results]:[Part of St. Lawrence County Vote Results]])</f>
        <v>2650</v>
      </c>
      <c r="F5" s="13"/>
    </row>
    <row r="6" spans="1:6" x14ac:dyDescent="0.2">
      <c r="A6" s="4" t="s">
        <v>0</v>
      </c>
      <c r="B6" s="3">
        <v>7170</v>
      </c>
      <c r="C6" s="3">
        <v>3328</v>
      </c>
      <c r="D6" s="3">
        <v>717</v>
      </c>
      <c r="E6" s="11">
        <f>SUM(MemberOfAssemblyAssemblyDistrict115General[[#This Row],[Clinton County Vote Results]:[Part of St. Lawrence County Vote Results]])</f>
        <v>11215</v>
      </c>
      <c r="F6" s="13"/>
    </row>
    <row r="7" spans="1:6" x14ac:dyDescent="0.2">
      <c r="A7" s="4" t="s">
        <v>1</v>
      </c>
      <c r="B7" s="3">
        <v>2</v>
      </c>
      <c r="C7" s="3">
        <v>5</v>
      </c>
      <c r="D7" s="3">
        <v>0</v>
      </c>
      <c r="E7" s="11">
        <f>SUM(MemberOfAssemblyAssemblyDistrict115General[[#This Row],[Clinton County Vote Results]:[Part of St. Lawrence County Vote Results]])</f>
        <v>7</v>
      </c>
      <c r="F7" s="13"/>
    </row>
    <row r="8" spans="1:6" x14ac:dyDescent="0.2">
      <c r="A8" s="4" t="s">
        <v>2</v>
      </c>
      <c r="B8" s="5">
        <v>76</v>
      </c>
      <c r="C8" s="5">
        <v>41</v>
      </c>
      <c r="D8" s="5">
        <v>6</v>
      </c>
      <c r="E8" s="11">
        <f>SUM(MemberOfAssemblyAssemblyDistrict115General[[#This Row],[Clinton County Vote Results]:[Part of St. Lawrence County Vote Results]])</f>
        <v>123</v>
      </c>
      <c r="F8" s="13"/>
    </row>
    <row r="9" spans="1:6" hidden="1" x14ac:dyDescent="0.2">
      <c r="A9" s="4" t="s">
        <v>3</v>
      </c>
      <c r="B9" s="6">
        <f>SUBTOTAL(109,MemberOfAssemblyAssemblyDistrict115General[Clinton County Vote Results])</f>
        <v>27134</v>
      </c>
      <c r="C9" s="6"/>
      <c r="D9" s="6">
        <f>SUBTOTAL(109,MemberOfAssemblyAssemblyDistrict115General[Part of St. Lawrence County Vote Results])</f>
        <v>1779</v>
      </c>
      <c r="E9" s="11">
        <f>SUM(MemberOfAssemblyAssemblyDistrict114General[[#This Row],[Essex County Vote Results]:[Part of Washington County Vote Results]])</f>
        <v>33</v>
      </c>
      <c r="F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251-E5CF-4CB7-AEBD-0A6ED75F0046}">
  <sheetPr>
    <pageSetUpPr fitToPage="1"/>
  </sheetPr>
  <dimension ref="A1:E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663</v>
      </c>
    </row>
    <row r="2" spans="1:5" ht="25.5" x14ac:dyDescent="0.2">
      <c r="A2" s="7" t="s">
        <v>5</v>
      </c>
      <c r="B2" s="8" t="s">
        <v>38</v>
      </c>
      <c r="C2" s="8" t="s">
        <v>37</v>
      </c>
      <c r="D2" s="9" t="s">
        <v>869</v>
      </c>
      <c r="E2" s="10" t="s">
        <v>4</v>
      </c>
    </row>
    <row r="3" spans="1:5" x14ac:dyDescent="0.2">
      <c r="A3" s="2" t="s">
        <v>664</v>
      </c>
      <c r="B3" s="3">
        <v>7647</v>
      </c>
      <c r="C3" s="3">
        <v>9679</v>
      </c>
      <c r="D3" s="11">
        <f>SUM(MemberOfAssemblyAssemblyDistrict116General[[#This Row],[Part of Jefferson County Vote Results]:[Part of St. Lawrence County Vote Results]])</f>
        <v>17326</v>
      </c>
      <c r="E3" s="12">
        <f>SUM(MemberOfAssemblyAssemblyDistrict116General[[#This Row],[Total Votes by Party]],D6)</f>
        <v>18415</v>
      </c>
    </row>
    <row r="4" spans="1:5" x14ac:dyDescent="0.2">
      <c r="A4" s="2" t="s">
        <v>665</v>
      </c>
      <c r="B4" s="3">
        <v>9404</v>
      </c>
      <c r="C4" s="3">
        <v>8855</v>
      </c>
      <c r="D4" s="11">
        <f>SUM(MemberOfAssemblyAssemblyDistrict116General[[#This Row],[Part of Jefferson County Vote Results]:[Part of St. Lawrence County Vote Results]])</f>
        <v>18259</v>
      </c>
      <c r="E4" s="12">
        <f>SUM(D4:D5,D7:D8)</f>
        <v>20998</v>
      </c>
    </row>
    <row r="5" spans="1:5" x14ac:dyDescent="0.2">
      <c r="A5" s="2" t="s">
        <v>666</v>
      </c>
      <c r="B5" s="3">
        <v>932</v>
      </c>
      <c r="C5" s="3">
        <v>872</v>
      </c>
      <c r="D5" s="11">
        <f>SUM(MemberOfAssemblyAssemblyDistrict116General[[#This Row],[Part of Jefferson County Vote Results]:[Part of St. Lawrence County Vote Results]])</f>
        <v>1804</v>
      </c>
      <c r="E5" s="13"/>
    </row>
    <row r="6" spans="1:5" x14ac:dyDescent="0.2">
      <c r="A6" s="2" t="s">
        <v>667</v>
      </c>
      <c r="B6" s="3">
        <v>462</v>
      </c>
      <c r="C6" s="3">
        <v>627</v>
      </c>
      <c r="D6" s="11">
        <f>SUM(MemberOfAssemblyAssemblyDistrict116General[[#This Row],[Part of Jefferson County Vote Results]:[Part of St. Lawrence County Vote Results]])</f>
        <v>1089</v>
      </c>
      <c r="E6" s="13"/>
    </row>
    <row r="7" spans="1:5" x14ac:dyDescent="0.2">
      <c r="A7" s="2" t="s">
        <v>668</v>
      </c>
      <c r="B7" s="3">
        <v>476</v>
      </c>
      <c r="C7" s="3">
        <v>326</v>
      </c>
      <c r="D7" s="11">
        <f>SUM(MemberOfAssemblyAssemblyDistrict116General[[#This Row],[Part of Jefferson County Vote Results]:[Part of St. Lawrence County Vote Results]])</f>
        <v>802</v>
      </c>
      <c r="E7" s="13"/>
    </row>
    <row r="8" spans="1:5" x14ac:dyDescent="0.2">
      <c r="A8" s="2" t="s">
        <v>669</v>
      </c>
      <c r="B8" s="3">
        <v>68</v>
      </c>
      <c r="C8" s="3">
        <v>65</v>
      </c>
      <c r="D8" s="11">
        <f>SUM(MemberOfAssemblyAssemblyDistrict116General[[#This Row],[Part of Jefferson County Vote Results]:[Part of St. Lawrence County Vote Results]])</f>
        <v>133</v>
      </c>
      <c r="E8" s="13"/>
    </row>
    <row r="9" spans="1:5" x14ac:dyDescent="0.2">
      <c r="A9" s="4" t="s">
        <v>0</v>
      </c>
      <c r="B9" s="3">
        <v>316</v>
      </c>
      <c r="C9" s="3">
        <v>616</v>
      </c>
      <c r="D9" s="11">
        <f>SUM(MemberOfAssemblyAssemblyDistrict116General[[#This Row],[Part of Jefferson County Vote Results]:[Part of St. Lawrence County Vote Results]])</f>
        <v>932</v>
      </c>
      <c r="E9" s="13"/>
    </row>
    <row r="10" spans="1:5" x14ac:dyDescent="0.2">
      <c r="A10" s="4" t="s">
        <v>1</v>
      </c>
      <c r="B10" s="3">
        <v>18</v>
      </c>
      <c r="C10" s="3">
        <v>0</v>
      </c>
      <c r="D10" s="11">
        <f>SUM(MemberOfAssemblyAssemblyDistrict116General[[#This Row],[Part of Jefferson County Vote Results]:[Part of St. Lawrence County Vote Results]])</f>
        <v>18</v>
      </c>
      <c r="E10" s="13"/>
    </row>
    <row r="11" spans="1:5" x14ac:dyDescent="0.2">
      <c r="A11" s="4" t="s">
        <v>2</v>
      </c>
      <c r="B11" s="5">
        <v>23</v>
      </c>
      <c r="C11" s="5">
        <v>5</v>
      </c>
      <c r="D11" s="11">
        <f>SUM(MemberOfAssemblyAssemblyDistrict116General[[#This Row],[Part of Jefferson County Vote Results]:[Part of St. Lawrence County Vote Results]])</f>
        <v>28</v>
      </c>
      <c r="E11" s="13"/>
    </row>
    <row r="12" spans="1:5" hidden="1" x14ac:dyDescent="0.2">
      <c r="A12" s="4" t="s">
        <v>3</v>
      </c>
      <c r="B12" s="6">
        <f>SUBTOTAL(109,MemberOfAssemblyAssemblyDistrict116General[Part of Jefferson County Vote Results])</f>
        <v>19346</v>
      </c>
      <c r="C12" s="6">
        <f>SUBTOTAL(109,MemberOfAssemblyAssemblyDistrict116General[Part of St. Lawrence County Vote Results])</f>
        <v>21045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FD12-9358-4655-9AAE-035B36C660CB}">
  <sheetPr>
    <pageSetUpPr fitToPage="1"/>
  </sheetPr>
  <dimension ref="A1:G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670</v>
      </c>
    </row>
    <row r="2" spans="1:7" ht="25.5" x14ac:dyDescent="0.2">
      <c r="A2" s="7" t="s">
        <v>5</v>
      </c>
      <c r="B2" s="8" t="s">
        <v>39</v>
      </c>
      <c r="C2" s="8" t="s">
        <v>38</v>
      </c>
      <c r="D2" s="8" t="s">
        <v>20</v>
      </c>
      <c r="E2" s="8" t="s">
        <v>37</v>
      </c>
      <c r="F2" s="9" t="s">
        <v>869</v>
      </c>
      <c r="G2" s="10" t="s">
        <v>4</v>
      </c>
    </row>
    <row r="3" spans="1:7" x14ac:dyDescent="0.2">
      <c r="A3" s="2" t="s">
        <v>671</v>
      </c>
      <c r="B3" s="3">
        <v>6596</v>
      </c>
      <c r="C3" s="3">
        <v>6920</v>
      </c>
      <c r="D3" s="3">
        <v>9391</v>
      </c>
      <c r="E3" s="3">
        <v>2862</v>
      </c>
      <c r="F3" s="11">
        <f>SUM(MemberOfAssemblyAssemblyDistrict117General[[#This Row],[Lewis County Vote Results]:[Part of St. Lawrence County Vote Results]])</f>
        <v>25769</v>
      </c>
      <c r="G3" s="12">
        <f>SUM(F3:F5)</f>
        <v>31573</v>
      </c>
    </row>
    <row r="4" spans="1:7" x14ac:dyDescent="0.2">
      <c r="A4" s="2" t="s">
        <v>672</v>
      </c>
      <c r="B4" s="3">
        <v>693</v>
      </c>
      <c r="C4" s="3">
        <v>722</v>
      </c>
      <c r="D4" s="3">
        <v>1204</v>
      </c>
      <c r="E4" s="3">
        <v>363</v>
      </c>
      <c r="F4" s="11">
        <f>SUM(MemberOfAssemblyAssemblyDistrict117General[[#This Row],[Lewis County Vote Results]:[Part of St. Lawrence County Vote Results]])</f>
        <v>2982</v>
      </c>
      <c r="G4" s="13"/>
    </row>
    <row r="5" spans="1:7" x14ac:dyDescent="0.2">
      <c r="A5" s="2" t="s">
        <v>673</v>
      </c>
      <c r="B5" s="3">
        <v>587</v>
      </c>
      <c r="C5" s="3">
        <v>724</v>
      </c>
      <c r="D5" s="3">
        <v>1204</v>
      </c>
      <c r="E5" s="3">
        <v>307</v>
      </c>
      <c r="F5" s="11">
        <f>SUM(MemberOfAssemblyAssemblyDistrict117General[[#This Row],[Lewis County Vote Results]:[Part of St. Lawrence County Vote Results]])</f>
        <v>2822</v>
      </c>
      <c r="G5" s="13"/>
    </row>
    <row r="6" spans="1:7" x14ac:dyDescent="0.2">
      <c r="A6" s="4" t="s">
        <v>0</v>
      </c>
      <c r="B6" s="3">
        <v>1472</v>
      </c>
      <c r="C6" s="3">
        <v>1769</v>
      </c>
      <c r="D6" s="3">
        <v>4199</v>
      </c>
      <c r="E6" s="3">
        <v>1005</v>
      </c>
      <c r="F6" s="11">
        <f>SUM(MemberOfAssemblyAssemblyDistrict117General[[#This Row],[Lewis County Vote Results]:[Part of St. Lawrence County Vote Results]])</f>
        <v>8445</v>
      </c>
      <c r="G6" s="13"/>
    </row>
    <row r="7" spans="1:7" x14ac:dyDescent="0.2">
      <c r="A7" s="4" t="s">
        <v>1</v>
      </c>
      <c r="B7" s="3">
        <v>0</v>
      </c>
      <c r="C7" s="3">
        <v>1</v>
      </c>
      <c r="D7" s="3">
        <v>0</v>
      </c>
      <c r="E7" s="3">
        <v>0</v>
      </c>
      <c r="F7" s="11">
        <f>SUM(MemberOfAssemblyAssemblyDistrict117General[[#This Row],[Lewis County Vote Results]:[Part of St. Lawrence County Vote Results]])</f>
        <v>1</v>
      </c>
      <c r="G7" s="13"/>
    </row>
    <row r="8" spans="1:7" x14ac:dyDescent="0.2">
      <c r="A8" s="4" t="s">
        <v>2</v>
      </c>
      <c r="B8" s="5">
        <v>41</v>
      </c>
      <c r="C8" s="5">
        <v>40</v>
      </c>
      <c r="D8" s="5">
        <v>52</v>
      </c>
      <c r="E8" s="5">
        <v>6</v>
      </c>
      <c r="F8" s="11">
        <f>SUM(MemberOfAssemblyAssemblyDistrict117General[[#This Row],[Lewis County Vote Results]:[Part of St. Lawrence County Vote Results]])</f>
        <v>139</v>
      </c>
      <c r="G8" s="13"/>
    </row>
    <row r="9" spans="1:7" hidden="1" x14ac:dyDescent="0.2">
      <c r="A9" s="4" t="s">
        <v>3</v>
      </c>
      <c r="B9" s="6">
        <f>SUBTOTAL(109,MemberOfAssemblyAssemblyDistrict117General[Lewis County Vote Results])</f>
        <v>9389</v>
      </c>
      <c r="C9" s="6"/>
      <c r="D9" s="6"/>
      <c r="E9" s="6">
        <f>SUBTOTAL(109,MemberOfAssemblyAssemblyDistrict117General[Part of St. Lawrence County Vote Results])</f>
        <v>4543</v>
      </c>
      <c r="F9" s="11">
        <f>SUM(MemberOfAssemblyAssemblyDistrict116General[[#This Row],[Part of Jefferson County Vote Results]:[Part of St. Lawrence County Vote Results]])</f>
        <v>932</v>
      </c>
      <c r="G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6F7D-25A3-42CC-A6C6-F493436D31B6}">
  <sheetPr>
    <pageSetUpPr fitToPage="1"/>
  </sheetPr>
  <dimension ref="A1:H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" t="s">
        <v>674</v>
      </c>
    </row>
    <row r="2" spans="1:8" ht="25.5" x14ac:dyDescent="0.2">
      <c r="A2" s="7" t="s">
        <v>5</v>
      </c>
      <c r="B2" s="8" t="s">
        <v>40</v>
      </c>
      <c r="C2" s="8" t="s">
        <v>41</v>
      </c>
      <c r="D2" s="8" t="s">
        <v>19</v>
      </c>
      <c r="E2" s="8" t="s">
        <v>20</v>
      </c>
      <c r="F2" s="8" t="s">
        <v>37</v>
      </c>
      <c r="G2" s="9" t="s">
        <v>869</v>
      </c>
      <c r="H2" s="10" t="s">
        <v>4</v>
      </c>
    </row>
    <row r="3" spans="1:8" x14ac:dyDescent="0.2">
      <c r="A3" s="2" t="s">
        <v>675</v>
      </c>
      <c r="B3" s="3">
        <v>5273</v>
      </c>
      <c r="C3" s="3">
        <v>784</v>
      </c>
      <c r="D3" s="3">
        <v>3528</v>
      </c>
      <c r="E3" s="3">
        <v>2970</v>
      </c>
      <c r="F3" s="3">
        <v>2582</v>
      </c>
      <c r="G3" s="11">
        <f>SUM(MemberOfAssemblyAssemblyDistrict118General[[#This Row],[Fulton County Vote Results]:[Part of St. Lawrence County Vote Results]])</f>
        <v>15137</v>
      </c>
      <c r="H3" s="12">
        <f>SUM(MemberOfAssemblyAssemblyDistrict118General[[#This Row],[Total Votes by Party]],G6)</f>
        <v>16263</v>
      </c>
    </row>
    <row r="4" spans="1:8" x14ac:dyDescent="0.2">
      <c r="A4" s="2" t="s">
        <v>676</v>
      </c>
      <c r="B4" s="3">
        <v>9889</v>
      </c>
      <c r="C4" s="3">
        <v>1641</v>
      </c>
      <c r="D4" s="3">
        <v>5626</v>
      </c>
      <c r="E4" s="3">
        <v>5074</v>
      </c>
      <c r="F4" s="3">
        <v>3122</v>
      </c>
      <c r="G4" s="11">
        <f>SUM(MemberOfAssemblyAssemblyDistrict118General[[#This Row],[Fulton County Vote Results]:[Part of St. Lawrence County Vote Results]])</f>
        <v>25352</v>
      </c>
      <c r="H4" s="12">
        <f>SUM(G4:G5,G7)</f>
        <v>28209</v>
      </c>
    </row>
    <row r="5" spans="1:8" x14ac:dyDescent="0.2">
      <c r="A5" s="2" t="s">
        <v>677</v>
      </c>
      <c r="B5" s="3">
        <v>1005</v>
      </c>
      <c r="C5" s="3">
        <v>160</v>
      </c>
      <c r="D5" s="3">
        <v>540</v>
      </c>
      <c r="E5" s="3">
        <v>586</v>
      </c>
      <c r="F5" s="3">
        <v>289</v>
      </c>
      <c r="G5" s="11">
        <f>SUM(MemberOfAssemblyAssemblyDistrict118General[[#This Row],[Fulton County Vote Results]:[Part of St. Lawrence County Vote Results]])</f>
        <v>2580</v>
      </c>
      <c r="H5" s="13"/>
    </row>
    <row r="6" spans="1:8" x14ac:dyDescent="0.2">
      <c r="A6" s="2" t="s">
        <v>678</v>
      </c>
      <c r="B6" s="3">
        <v>359</v>
      </c>
      <c r="C6" s="3">
        <v>61</v>
      </c>
      <c r="D6" s="3">
        <v>291</v>
      </c>
      <c r="E6" s="3">
        <v>232</v>
      </c>
      <c r="F6" s="3">
        <v>183</v>
      </c>
      <c r="G6" s="11">
        <f>SUM(MemberOfAssemblyAssemblyDistrict118General[[#This Row],[Fulton County Vote Results]:[Part of St. Lawrence County Vote Results]])</f>
        <v>1126</v>
      </c>
      <c r="H6" s="13"/>
    </row>
    <row r="7" spans="1:8" x14ac:dyDescent="0.2">
      <c r="A7" s="2" t="s">
        <v>679</v>
      </c>
      <c r="B7" s="3">
        <v>101</v>
      </c>
      <c r="C7" s="3">
        <v>23</v>
      </c>
      <c r="D7" s="3">
        <v>50</v>
      </c>
      <c r="E7" s="3">
        <v>58</v>
      </c>
      <c r="F7" s="3">
        <v>45</v>
      </c>
      <c r="G7" s="11">
        <f>SUM(MemberOfAssemblyAssemblyDistrict118General[[#This Row],[Fulton County Vote Results]:[Part of St. Lawrence County Vote Results]])</f>
        <v>277</v>
      </c>
      <c r="H7" s="13"/>
    </row>
    <row r="8" spans="1:8" x14ac:dyDescent="0.2">
      <c r="A8" s="4" t="s">
        <v>0</v>
      </c>
      <c r="B8" s="3">
        <v>819</v>
      </c>
      <c r="C8" s="3">
        <v>183</v>
      </c>
      <c r="D8" s="3">
        <v>673</v>
      </c>
      <c r="E8" s="3">
        <v>668</v>
      </c>
      <c r="F8" s="3">
        <v>510</v>
      </c>
      <c r="G8" s="11">
        <f>SUM(MemberOfAssemblyAssemblyDistrict118General[[#This Row],[Fulton County Vote Results]:[Part of St. Lawrence County Vote Results]])</f>
        <v>2853</v>
      </c>
      <c r="H8" s="13"/>
    </row>
    <row r="9" spans="1:8" x14ac:dyDescent="0.2">
      <c r="A9" s="4" t="s">
        <v>1</v>
      </c>
      <c r="B9" s="3">
        <v>16</v>
      </c>
      <c r="C9" s="3">
        <v>1</v>
      </c>
      <c r="D9" s="3">
        <v>9</v>
      </c>
      <c r="E9" s="3">
        <v>0</v>
      </c>
      <c r="F9" s="3">
        <v>0</v>
      </c>
      <c r="G9" s="11">
        <f>SUM(MemberOfAssemblyAssemblyDistrict118General[[#This Row],[Fulton County Vote Results]:[Part of St. Lawrence County Vote Results]])</f>
        <v>26</v>
      </c>
      <c r="H9" s="13"/>
    </row>
    <row r="10" spans="1:8" x14ac:dyDescent="0.2">
      <c r="A10" s="4" t="s">
        <v>2</v>
      </c>
      <c r="B10" s="5">
        <v>24</v>
      </c>
      <c r="C10" s="5">
        <v>11</v>
      </c>
      <c r="D10" s="5">
        <v>65</v>
      </c>
      <c r="E10" s="5">
        <v>13</v>
      </c>
      <c r="F10" s="5">
        <v>5</v>
      </c>
      <c r="G10" s="11">
        <f>SUM(MemberOfAssemblyAssemblyDistrict118General[[#This Row],[Fulton County Vote Results]:[Part of St. Lawrence County Vote Results]])</f>
        <v>118</v>
      </c>
      <c r="H10" s="13"/>
    </row>
    <row r="11" spans="1:8" hidden="1" x14ac:dyDescent="0.2">
      <c r="A11" s="4" t="s">
        <v>3</v>
      </c>
      <c r="B11" s="6">
        <f>SUBTOTAL(109,MemberOfAssemblyAssemblyDistrict118General[Fulton County Vote Results])</f>
        <v>17486</v>
      </c>
      <c r="C11" s="6"/>
      <c r="D11" s="6"/>
      <c r="E11" s="6"/>
      <c r="F11" s="6">
        <f>SUBTOTAL(109,MemberOfAssemblyAssemblyDistrict118General[Part of St. Lawrence County Vote Results])</f>
        <v>6736</v>
      </c>
    </row>
  </sheetData>
  <pageMargins left="0.5" right="0.5" top="0.25" bottom="0.25" header="0.25" footer="0.25"/>
  <pageSetup paperSize="5" scale="9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E396-8056-4C19-8DEB-8975DA3F2ECC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680</v>
      </c>
    </row>
    <row r="2" spans="1:5" ht="25.5" x14ac:dyDescent="0.2">
      <c r="A2" s="7" t="s">
        <v>5</v>
      </c>
      <c r="B2" s="8" t="s">
        <v>19</v>
      </c>
      <c r="C2" s="8" t="s">
        <v>20</v>
      </c>
      <c r="D2" s="9" t="s">
        <v>869</v>
      </c>
      <c r="E2" s="10" t="s">
        <v>4</v>
      </c>
    </row>
    <row r="3" spans="1:5" x14ac:dyDescent="0.2">
      <c r="A3" s="2" t="s">
        <v>681</v>
      </c>
      <c r="B3" s="3">
        <v>1083</v>
      </c>
      <c r="C3" s="3">
        <v>17973</v>
      </c>
      <c r="D3" s="11">
        <f>SUM(MemberOfAssemblyAssemblyDistrict119General[[#This Row],[Part of Herkimer County Vote Results]:[Part of Oneida County Vote Results]])</f>
        <v>19056</v>
      </c>
      <c r="E3" s="12">
        <f>SUM(MemberOfAssemblyAssemblyDistrict119General[[#This Row],[Total Votes by Party]],D6)</f>
        <v>20889</v>
      </c>
    </row>
    <row r="4" spans="1:5" x14ac:dyDescent="0.2">
      <c r="A4" s="2" t="s">
        <v>682</v>
      </c>
      <c r="B4" s="3">
        <v>1385</v>
      </c>
      <c r="C4" s="3">
        <v>13344</v>
      </c>
      <c r="D4" s="11">
        <f>SUM(MemberOfAssemblyAssemblyDistrict119General[[#This Row],[Part of Herkimer County Vote Results]:[Part of Oneida County Vote Results]])</f>
        <v>14729</v>
      </c>
      <c r="E4" s="12">
        <f>SUM(D4:D5,D7)</f>
        <v>16732</v>
      </c>
    </row>
    <row r="5" spans="1:5" x14ac:dyDescent="0.2">
      <c r="A5" s="2" t="s">
        <v>683</v>
      </c>
      <c r="B5" s="3">
        <v>127</v>
      </c>
      <c r="C5" s="3">
        <v>1652</v>
      </c>
      <c r="D5" s="11">
        <f>SUM(MemberOfAssemblyAssemblyDistrict119General[[#This Row],[Part of Herkimer County Vote Results]:[Part of Oneida County Vote Results]])</f>
        <v>1779</v>
      </c>
      <c r="E5" s="13"/>
    </row>
    <row r="6" spans="1:5" x14ac:dyDescent="0.2">
      <c r="A6" s="2" t="s">
        <v>684</v>
      </c>
      <c r="B6" s="3">
        <v>80</v>
      </c>
      <c r="C6" s="3">
        <v>1753</v>
      </c>
      <c r="D6" s="11">
        <f>SUM(MemberOfAssemblyAssemblyDistrict119General[[#This Row],[Part of Herkimer County Vote Results]:[Part of Oneida County Vote Results]])</f>
        <v>1833</v>
      </c>
      <c r="E6" s="13"/>
    </row>
    <row r="7" spans="1:5" x14ac:dyDescent="0.2">
      <c r="A7" s="2" t="s">
        <v>685</v>
      </c>
      <c r="B7" s="3">
        <v>20</v>
      </c>
      <c r="C7" s="3">
        <v>204</v>
      </c>
      <c r="D7" s="11">
        <f>SUM(MemberOfAssemblyAssemblyDistrict119General[[#This Row],[Part of Herkimer County Vote Results]:[Part of Oneida County Vote Results]])</f>
        <v>224</v>
      </c>
      <c r="E7" s="13"/>
    </row>
    <row r="8" spans="1:5" x14ac:dyDescent="0.2">
      <c r="A8" s="4" t="s">
        <v>0</v>
      </c>
      <c r="B8" s="3">
        <v>232</v>
      </c>
      <c r="C8" s="3">
        <v>2089</v>
      </c>
      <c r="D8" s="11">
        <f>SUM(MemberOfAssemblyAssemblyDistrict119General[[#This Row],[Part of Herkimer County Vote Results]:[Part of Oneida County Vote Results]])</f>
        <v>2321</v>
      </c>
      <c r="E8" s="13"/>
    </row>
    <row r="9" spans="1:5" x14ac:dyDescent="0.2">
      <c r="A9" s="4" t="s">
        <v>1</v>
      </c>
      <c r="B9" s="3">
        <v>0</v>
      </c>
      <c r="C9" s="3">
        <v>0</v>
      </c>
      <c r="D9" s="11">
        <f>SUM(MemberOfAssemblyAssemblyDistrict119General[[#This Row],[Part of Herkimer County Vote Results]:[Part of Oneida County Vote Results]])</f>
        <v>0</v>
      </c>
      <c r="E9" s="13"/>
    </row>
    <row r="10" spans="1:5" x14ac:dyDescent="0.2">
      <c r="A10" s="4" t="s">
        <v>2</v>
      </c>
      <c r="B10" s="5">
        <v>1</v>
      </c>
      <c r="C10" s="5">
        <v>36</v>
      </c>
      <c r="D10" s="11">
        <f>SUM(MemberOfAssemblyAssemblyDistrict119General[[#This Row],[Part of Herkimer County Vote Results]:[Part of Oneida County Vote Results]])</f>
        <v>37</v>
      </c>
      <c r="E10" s="13"/>
    </row>
    <row r="11" spans="1:5" hidden="1" x14ac:dyDescent="0.2">
      <c r="A11" s="4" t="s">
        <v>3</v>
      </c>
      <c r="B11" s="6">
        <f>SUBTOTAL(109,MemberOfAssemblyAssemblyDistrict119General[Part of Herkimer County Vote Results])</f>
        <v>2928</v>
      </c>
      <c r="C11" s="6">
        <f>SUBTOTAL(109,MemberOfAssemblyAssemblyDistrict119General[Part of Oneida County Vote Results])</f>
        <v>37051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2C0E-6154-4015-826E-335529B58F00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141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142</v>
      </c>
      <c r="B3" s="3">
        <v>22416</v>
      </c>
      <c r="C3" s="11">
        <f>MemberOfAssemblyAssemblyDistrict12General[[#This Row],[Part of Suffolk County Vote Results]]</f>
        <v>22416</v>
      </c>
      <c r="D3" s="12">
        <f>MemberOfAssemblyAssemblyDistrict12General[[#This Row],[Total Votes by Party]]</f>
        <v>22416</v>
      </c>
    </row>
    <row r="4" spans="1:4" x14ac:dyDescent="0.2">
      <c r="A4" s="2" t="s">
        <v>143</v>
      </c>
      <c r="B4" s="3">
        <v>23868</v>
      </c>
      <c r="C4" s="11">
        <f>MemberOfAssemblyAssemblyDistrict12General[[#This Row],[Part of Suffolk County Vote Results]]</f>
        <v>23868</v>
      </c>
      <c r="D4" s="12">
        <f>SUM(C4:C7)</f>
        <v>27853</v>
      </c>
    </row>
    <row r="5" spans="1:4" x14ac:dyDescent="0.2">
      <c r="A5" s="2" t="s">
        <v>144</v>
      </c>
      <c r="B5" s="3">
        <v>2896</v>
      </c>
      <c r="C5" s="11">
        <f>MemberOfAssemblyAssemblyDistrict12General[[#This Row],[Part of Suffolk County Vote Results]]</f>
        <v>2896</v>
      </c>
      <c r="D5" s="13"/>
    </row>
    <row r="6" spans="1:4" x14ac:dyDescent="0.2">
      <c r="A6" s="2" t="s">
        <v>145</v>
      </c>
      <c r="B6" s="3">
        <v>949</v>
      </c>
      <c r="C6" s="11">
        <f>MemberOfAssemblyAssemblyDistrict12General[[#This Row],[Part of Suffolk County Vote Results]]</f>
        <v>949</v>
      </c>
      <c r="D6" s="13"/>
    </row>
    <row r="7" spans="1:4" x14ac:dyDescent="0.2">
      <c r="A7" s="2" t="s">
        <v>146</v>
      </c>
      <c r="B7" s="3">
        <v>140</v>
      </c>
      <c r="C7" s="11">
        <f>MemberOfAssemblyAssemblyDistrict12General[[#This Row],[Part of Suffolk County Vote Results]]</f>
        <v>140</v>
      </c>
      <c r="D7" s="13"/>
    </row>
    <row r="8" spans="1:4" x14ac:dyDescent="0.2">
      <c r="A8" s="4" t="s">
        <v>0</v>
      </c>
      <c r="B8" s="5">
        <v>1670</v>
      </c>
      <c r="C8" s="11">
        <f>MemberOfAssemblyAssemblyDistrict12General[[#This Row],[Part of Suffolk County Vote Results]]</f>
        <v>1670</v>
      </c>
      <c r="D8" s="13"/>
    </row>
    <row r="9" spans="1:4" x14ac:dyDescent="0.2">
      <c r="A9" s="4" t="s">
        <v>1</v>
      </c>
      <c r="B9" s="5">
        <v>8</v>
      </c>
      <c r="C9" s="11">
        <f>MemberOfAssemblyAssemblyDistrict12General[[#This Row],[Part of Suffolk County Vote Results]]</f>
        <v>8</v>
      </c>
      <c r="D9" s="13"/>
    </row>
    <row r="10" spans="1:4" x14ac:dyDescent="0.2">
      <c r="A10" s="4" t="s">
        <v>2</v>
      </c>
      <c r="B10" s="5">
        <v>8</v>
      </c>
      <c r="C10" s="11">
        <f>MemberOfAssemblyAssemblyDistrict12General[[#This Row],[Part of Suffolk County Vote Results]]</f>
        <v>8</v>
      </c>
      <c r="D10" s="13"/>
    </row>
    <row r="11" spans="1:4" hidden="1" x14ac:dyDescent="0.2">
      <c r="A11" s="4" t="s">
        <v>3</v>
      </c>
      <c r="B11" s="6">
        <f>SUBTOTAL(109,MemberOfAssemblyAssemblyDistrict12General[Total Votes by Candidate])</f>
        <v>50269</v>
      </c>
      <c r="C11" s="11">
        <f>MemberOfAssemblyAssemblyDistrict11General[[#This Row],[Part of Suffolk County Vote Results]]</f>
        <v>3</v>
      </c>
      <c r="D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74AB-CB41-4E20-8B76-F584ABC07FBF}">
  <sheetPr>
    <pageSetUpPr fitToPage="1"/>
  </sheetPr>
  <dimension ref="A1:F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686</v>
      </c>
    </row>
    <row r="2" spans="1:6" ht="25.5" x14ac:dyDescent="0.2">
      <c r="A2" s="7" t="s">
        <v>5</v>
      </c>
      <c r="B2" s="8" t="s">
        <v>38</v>
      </c>
      <c r="C2" s="8" t="s">
        <v>42</v>
      </c>
      <c r="D2" s="8" t="s">
        <v>43</v>
      </c>
      <c r="E2" s="9" t="s">
        <v>869</v>
      </c>
      <c r="F2" s="10" t="s">
        <v>4</v>
      </c>
    </row>
    <row r="3" spans="1:6" x14ac:dyDescent="0.2">
      <c r="A3" s="2" t="s">
        <v>687</v>
      </c>
      <c r="B3" s="3">
        <v>285</v>
      </c>
      <c r="C3" s="3">
        <v>3969</v>
      </c>
      <c r="D3" s="3">
        <v>9061</v>
      </c>
      <c r="E3" s="11">
        <f>SUM(MemberOfAssemblyAssemblyDistrict120General[[#This Row],[Part of Jefferson County Vote Results]:[Part of Oswego County Vote Results]])</f>
        <v>13315</v>
      </c>
      <c r="F3" s="12">
        <f>SUM(MemberOfAssemblyAssemblyDistrict120General[[#This Row],[Total Votes by Party]],E6,E8)</f>
        <v>14359</v>
      </c>
    </row>
    <row r="4" spans="1:6" x14ac:dyDescent="0.2">
      <c r="A4" s="2" t="s">
        <v>688</v>
      </c>
      <c r="B4" s="3">
        <v>717</v>
      </c>
      <c r="C4" s="3">
        <v>5154</v>
      </c>
      <c r="D4" s="3">
        <v>20475</v>
      </c>
      <c r="E4" s="11">
        <f>SUM(MemberOfAssemblyAssemblyDistrict120General[[#This Row],[Part of Jefferson County Vote Results]:[Part of Oswego County Vote Results]])</f>
        <v>26346</v>
      </c>
      <c r="F4" s="12">
        <f>SUM(E4:E5,E7,E9)</f>
        <v>31393</v>
      </c>
    </row>
    <row r="5" spans="1:6" x14ac:dyDescent="0.2">
      <c r="A5" s="2" t="s">
        <v>689</v>
      </c>
      <c r="B5" s="3">
        <v>59</v>
      </c>
      <c r="C5" s="3">
        <v>812</v>
      </c>
      <c r="D5" s="3">
        <v>2680</v>
      </c>
      <c r="E5" s="11">
        <f>SUM(MemberOfAssemblyAssemblyDistrict120General[[#This Row],[Part of Jefferson County Vote Results]:[Part of Oswego County Vote Results]])</f>
        <v>3551</v>
      </c>
      <c r="F5" s="13"/>
    </row>
    <row r="6" spans="1:6" x14ac:dyDescent="0.2">
      <c r="A6" s="2" t="s">
        <v>690</v>
      </c>
      <c r="B6" s="3">
        <v>11</v>
      </c>
      <c r="C6" s="3">
        <v>140</v>
      </c>
      <c r="D6" s="3">
        <v>472</v>
      </c>
      <c r="E6" s="11">
        <f>SUM(MemberOfAssemblyAssemblyDistrict120General[[#This Row],[Part of Jefferson County Vote Results]:[Part of Oswego County Vote Results]])</f>
        <v>623</v>
      </c>
      <c r="F6" s="13"/>
    </row>
    <row r="7" spans="1:6" x14ac:dyDescent="0.2">
      <c r="A7" s="2" t="s">
        <v>691</v>
      </c>
      <c r="B7" s="3">
        <v>27</v>
      </c>
      <c r="C7" s="3">
        <v>250</v>
      </c>
      <c r="D7" s="3">
        <v>1035</v>
      </c>
      <c r="E7" s="11">
        <f>SUM(MemberOfAssemblyAssemblyDistrict120General[[#This Row],[Part of Jefferson County Vote Results]:[Part of Oswego County Vote Results]])</f>
        <v>1312</v>
      </c>
      <c r="F7" s="13"/>
    </row>
    <row r="8" spans="1:6" x14ac:dyDescent="0.2">
      <c r="A8" s="2" t="s">
        <v>692</v>
      </c>
      <c r="B8" s="3">
        <v>9</v>
      </c>
      <c r="C8" s="3">
        <v>108</v>
      </c>
      <c r="D8" s="3">
        <v>304</v>
      </c>
      <c r="E8" s="11">
        <f>SUM(MemberOfAssemblyAssemblyDistrict120General[[#This Row],[Part of Jefferson County Vote Results]:[Part of Oswego County Vote Results]])</f>
        <v>421</v>
      </c>
      <c r="F8" s="13"/>
    </row>
    <row r="9" spans="1:6" x14ac:dyDescent="0.2">
      <c r="A9" s="2" t="s">
        <v>693</v>
      </c>
      <c r="B9" s="3">
        <v>4</v>
      </c>
      <c r="C9" s="3">
        <v>39</v>
      </c>
      <c r="D9" s="3">
        <v>141</v>
      </c>
      <c r="E9" s="11">
        <f>SUM(MemberOfAssemblyAssemblyDistrict120General[[#This Row],[Part of Jefferson County Vote Results]:[Part of Oswego County Vote Results]])</f>
        <v>184</v>
      </c>
      <c r="F9" s="13"/>
    </row>
    <row r="10" spans="1:6" x14ac:dyDescent="0.2">
      <c r="A10" s="4" t="s">
        <v>0</v>
      </c>
      <c r="B10" s="3">
        <v>39</v>
      </c>
      <c r="C10" s="3">
        <v>294</v>
      </c>
      <c r="D10" s="3">
        <v>1352</v>
      </c>
      <c r="E10" s="11">
        <f>SUM(MemberOfAssemblyAssemblyDistrict120General[[#This Row],[Part of Jefferson County Vote Results]:[Part of Oswego County Vote Results]])</f>
        <v>1685</v>
      </c>
      <c r="F10" s="13"/>
    </row>
    <row r="11" spans="1:6" x14ac:dyDescent="0.2">
      <c r="A11" s="4" t="s">
        <v>1</v>
      </c>
      <c r="B11" s="3">
        <v>0</v>
      </c>
      <c r="C11" s="3">
        <v>0</v>
      </c>
      <c r="D11" s="3">
        <v>18</v>
      </c>
      <c r="E11" s="11">
        <f>SUM(MemberOfAssemblyAssemblyDistrict120General[[#This Row],[Part of Jefferson County Vote Results]:[Part of Oswego County Vote Results]])</f>
        <v>18</v>
      </c>
      <c r="F11" s="13"/>
    </row>
    <row r="12" spans="1:6" x14ac:dyDescent="0.2">
      <c r="A12" s="4" t="s">
        <v>2</v>
      </c>
      <c r="B12" s="5">
        <v>0</v>
      </c>
      <c r="C12" s="5">
        <v>4</v>
      </c>
      <c r="D12" s="5">
        <v>7</v>
      </c>
      <c r="E12" s="11">
        <f>SUM(MemberOfAssemblyAssemblyDistrict120General[[#This Row],[Part of Jefferson County Vote Results]:[Part of Oswego County Vote Results]])</f>
        <v>11</v>
      </c>
      <c r="F12" s="13"/>
    </row>
    <row r="13" spans="1:6" hidden="1" x14ac:dyDescent="0.2">
      <c r="A13" s="4" t="s">
        <v>3</v>
      </c>
      <c r="B13" s="6">
        <f>SUBTOTAL(109,MemberOfAssemblyAssemblyDistrict120General[Part of Jefferson County Vote Results])</f>
        <v>1151</v>
      </c>
      <c r="C13" s="6"/>
      <c r="D13" s="6">
        <f>SUBTOTAL(109,MemberOfAssemblyAssemblyDistrict120General[Part of Oswego County Vote Results])</f>
        <v>35545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2409-CA7D-48D3-8F4B-B54F3433DC49}">
  <sheetPr>
    <pageSetUpPr fitToPage="1"/>
  </sheetPr>
  <dimension ref="A1:F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694</v>
      </c>
    </row>
    <row r="2" spans="1:6" ht="25.5" x14ac:dyDescent="0.2">
      <c r="A2" s="7" t="s">
        <v>5</v>
      </c>
      <c r="B2" s="8" t="s">
        <v>44</v>
      </c>
      <c r="C2" s="8" t="s">
        <v>20</v>
      </c>
      <c r="D2" s="8" t="s">
        <v>21</v>
      </c>
      <c r="E2" s="9" t="s">
        <v>869</v>
      </c>
      <c r="F2" s="10" t="s">
        <v>4</v>
      </c>
    </row>
    <row r="3" spans="1:6" x14ac:dyDescent="0.2">
      <c r="A3" s="2" t="s">
        <v>695</v>
      </c>
      <c r="B3" s="3">
        <v>12552</v>
      </c>
      <c r="C3" s="3">
        <v>2552</v>
      </c>
      <c r="D3" s="3">
        <v>7731</v>
      </c>
      <c r="E3" s="11">
        <f>SUM(MemberOfAssemblyAssemblyDistrict121General[[#This Row],[Madison County Vote Results]:[Part of Otsego County Vote Results]])</f>
        <v>22835</v>
      </c>
      <c r="F3" s="12">
        <f>MemberOfAssemblyAssemblyDistrict121General[[#This Row],[Total Votes by Party]]</f>
        <v>22835</v>
      </c>
    </row>
    <row r="4" spans="1:6" x14ac:dyDescent="0.2">
      <c r="A4" s="2" t="s">
        <v>696</v>
      </c>
      <c r="B4" s="3">
        <v>11343</v>
      </c>
      <c r="C4" s="3">
        <v>2952</v>
      </c>
      <c r="D4" s="3">
        <v>5876</v>
      </c>
      <c r="E4" s="11">
        <f>SUM(MemberOfAssemblyAssemblyDistrict121General[[#This Row],[Madison County Vote Results]:[Part of Otsego County Vote Results]])</f>
        <v>20171</v>
      </c>
      <c r="F4" s="12">
        <f>SUM(E4:E6)</f>
        <v>23320</v>
      </c>
    </row>
    <row r="5" spans="1:6" x14ac:dyDescent="0.2">
      <c r="A5" s="2" t="s">
        <v>697</v>
      </c>
      <c r="B5" s="3">
        <v>1757</v>
      </c>
      <c r="C5" s="3">
        <v>431</v>
      </c>
      <c r="D5" s="3">
        <v>611</v>
      </c>
      <c r="E5" s="11">
        <f>SUM(MemberOfAssemblyAssemblyDistrict121General[[#This Row],[Madison County Vote Results]:[Part of Otsego County Vote Results]])</f>
        <v>2799</v>
      </c>
      <c r="F5" s="13"/>
    </row>
    <row r="6" spans="1:6" x14ac:dyDescent="0.2">
      <c r="A6" s="2" t="s">
        <v>698</v>
      </c>
      <c r="B6" s="3">
        <v>204</v>
      </c>
      <c r="C6" s="3">
        <v>51</v>
      </c>
      <c r="D6" s="3">
        <v>95</v>
      </c>
      <c r="E6" s="11">
        <f>SUM(MemberOfAssemblyAssemblyDistrict121General[[#This Row],[Madison County Vote Results]:[Part of Otsego County Vote Results]])</f>
        <v>350</v>
      </c>
      <c r="F6" s="13"/>
    </row>
    <row r="7" spans="1:6" x14ac:dyDescent="0.2">
      <c r="A7" s="4" t="s">
        <v>0</v>
      </c>
      <c r="B7" s="3">
        <v>550</v>
      </c>
      <c r="C7" s="3">
        <v>251</v>
      </c>
      <c r="D7" s="3">
        <v>659</v>
      </c>
      <c r="E7" s="11">
        <f>SUM(MemberOfAssemblyAssemblyDistrict121General[[#This Row],[Madison County Vote Results]:[Part of Otsego County Vote Results]])</f>
        <v>1460</v>
      </c>
      <c r="F7" s="13"/>
    </row>
    <row r="8" spans="1:6" x14ac:dyDescent="0.2">
      <c r="A8" s="4" t="s">
        <v>1</v>
      </c>
      <c r="B8" s="3">
        <v>11</v>
      </c>
      <c r="C8" s="3">
        <v>0</v>
      </c>
      <c r="D8" s="3">
        <v>4</v>
      </c>
      <c r="E8" s="11">
        <f>SUM(MemberOfAssemblyAssemblyDistrict121General[[#This Row],[Madison County Vote Results]:[Part of Otsego County Vote Results]])</f>
        <v>15</v>
      </c>
      <c r="F8" s="13"/>
    </row>
    <row r="9" spans="1:6" x14ac:dyDescent="0.2">
      <c r="A9" s="4" t="s">
        <v>2</v>
      </c>
      <c r="B9" s="5">
        <v>25</v>
      </c>
      <c r="C9" s="5">
        <v>3</v>
      </c>
      <c r="D9" s="5">
        <v>12</v>
      </c>
      <c r="E9" s="11">
        <f>SUM(MemberOfAssemblyAssemblyDistrict121General[[#This Row],[Madison County Vote Results]:[Part of Otsego County Vote Results]])</f>
        <v>40</v>
      </c>
      <c r="F9" s="13"/>
    </row>
    <row r="10" spans="1:6" hidden="1" x14ac:dyDescent="0.2">
      <c r="A10" s="4" t="s">
        <v>3</v>
      </c>
      <c r="B10" s="6">
        <f>SUBTOTAL(109,MemberOfAssemblyAssemblyDistrict121General[Madison County Vote Results])</f>
        <v>26442</v>
      </c>
      <c r="C10" s="6"/>
      <c r="D10" s="6">
        <f>SUBTOTAL(109,MemberOfAssemblyAssemblyDistrict121General[Part of Otsego County Vote Results])</f>
        <v>14988</v>
      </c>
      <c r="E10" s="11">
        <f>SUM(MemberOfAssemblyAssemblyDistrict120General[[#This Row],[Part of Jefferson County Vote Results]:[Part of Oswego County Vote Results]])</f>
        <v>1685</v>
      </c>
      <c r="F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F50D-3823-4102-9581-39FBE6A7995F}">
  <sheetPr>
    <pageSetUpPr fitToPage="1"/>
  </sheetPr>
  <dimension ref="A1:G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699</v>
      </c>
    </row>
    <row r="2" spans="1:7" ht="25.5" x14ac:dyDescent="0.2">
      <c r="A2" s="7" t="s">
        <v>5</v>
      </c>
      <c r="B2" s="8" t="s">
        <v>45</v>
      </c>
      <c r="C2" s="8" t="s">
        <v>46</v>
      </c>
      <c r="D2" s="8" t="s">
        <v>18</v>
      </c>
      <c r="E2" s="8" t="s">
        <v>21</v>
      </c>
      <c r="F2" s="9" t="s">
        <v>869</v>
      </c>
      <c r="G2" s="10" t="s">
        <v>4</v>
      </c>
    </row>
    <row r="3" spans="1:7" x14ac:dyDescent="0.2">
      <c r="A3" s="2" t="s">
        <v>700</v>
      </c>
      <c r="B3" s="3">
        <v>16373</v>
      </c>
      <c r="C3" s="3">
        <v>9478</v>
      </c>
      <c r="D3" s="3">
        <v>5854</v>
      </c>
      <c r="E3" s="3">
        <v>1863</v>
      </c>
      <c r="F3" s="11">
        <f>SUM(MemberOfAssemblyAssemblyDistrict122General[[#This Row],[Part of Broome County Vote Results]:[Part of Otsego County Vote Results]])</f>
        <v>33568</v>
      </c>
      <c r="G3" s="12">
        <f>SUM(MemberOfAssemblyAssemblyDistrict122General[[#This Row],[Total Votes by Party]],F5)</f>
        <v>34873</v>
      </c>
    </row>
    <row r="4" spans="1:7" x14ac:dyDescent="0.2">
      <c r="A4" s="2" t="s">
        <v>701</v>
      </c>
      <c r="B4" s="3">
        <v>3683</v>
      </c>
      <c r="C4" s="3">
        <v>1365</v>
      </c>
      <c r="D4" s="3">
        <v>747</v>
      </c>
      <c r="E4" s="3">
        <v>231</v>
      </c>
      <c r="F4" s="11">
        <f>SUM(MemberOfAssemblyAssemblyDistrict122General[[#This Row],[Part of Broome County Vote Results]:[Part of Otsego County Vote Results]])</f>
        <v>6026</v>
      </c>
      <c r="G4" s="12">
        <f>MemberOfAssemblyAssemblyDistrict122General[[#This Row],[Total Votes by Party]]</f>
        <v>6026</v>
      </c>
    </row>
    <row r="5" spans="1:7" x14ac:dyDescent="0.2">
      <c r="A5" s="2" t="s">
        <v>702</v>
      </c>
      <c r="B5" s="3">
        <v>645</v>
      </c>
      <c r="C5" s="3">
        <v>338</v>
      </c>
      <c r="D5" s="3">
        <v>219</v>
      </c>
      <c r="E5" s="3">
        <v>103</v>
      </c>
      <c r="F5" s="11">
        <f>SUM(MemberOfAssemblyAssemblyDistrict122General[[#This Row],[Part of Broome County Vote Results]:[Part of Otsego County Vote Results]])</f>
        <v>1305</v>
      </c>
      <c r="G5" s="13"/>
    </row>
    <row r="6" spans="1:7" x14ac:dyDescent="0.2">
      <c r="A6" s="4" t="s">
        <v>0</v>
      </c>
      <c r="B6" s="3">
        <v>4411</v>
      </c>
      <c r="C6" s="3">
        <v>2029</v>
      </c>
      <c r="D6" s="3">
        <v>1170</v>
      </c>
      <c r="E6" s="3">
        <v>570</v>
      </c>
      <c r="F6" s="11">
        <f>SUM(MemberOfAssemblyAssemblyDistrict122General[[#This Row],[Part of Broome County Vote Results]:[Part of Otsego County Vote Results]])</f>
        <v>8180</v>
      </c>
      <c r="G6" s="13"/>
    </row>
    <row r="7" spans="1:7" x14ac:dyDescent="0.2">
      <c r="A7" s="4" t="s">
        <v>1</v>
      </c>
      <c r="B7" s="3">
        <v>2</v>
      </c>
      <c r="C7" s="3">
        <v>4</v>
      </c>
      <c r="D7" s="3">
        <v>2</v>
      </c>
      <c r="E7" s="3">
        <v>0</v>
      </c>
      <c r="F7" s="11">
        <f>SUM(MemberOfAssemblyAssemblyDistrict122General[[#This Row],[Part of Broome County Vote Results]:[Part of Otsego County Vote Results]])</f>
        <v>8</v>
      </c>
      <c r="G7" s="13"/>
    </row>
    <row r="8" spans="1:7" x14ac:dyDescent="0.2">
      <c r="A8" s="4" t="s">
        <v>2</v>
      </c>
      <c r="B8" s="5">
        <v>51</v>
      </c>
      <c r="C8" s="5">
        <v>32</v>
      </c>
      <c r="D8" s="5">
        <v>50</v>
      </c>
      <c r="E8" s="5">
        <v>6</v>
      </c>
      <c r="F8" s="11">
        <f>SUM(MemberOfAssemblyAssemblyDistrict122General[[#This Row],[Part of Broome County Vote Results]:[Part of Otsego County Vote Results]])</f>
        <v>139</v>
      </c>
      <c r="G8" s="13"/>
    </row>
    <row r="9" spans="1:7" hidden="1" x14ac:dyDescent="0.2">
      <c r="A9" s="4" t="s">
        <v>3</v>
      </c>
      <c r="B9" s="6">
        <f>SUBTOTAL(109,MemberOfAssemblyAssemblyDistrict122General[Part of Broome County Vote Results])</f>
        <v>25165</v>
      </c>
      <c r="C9" s="6"/>
      <c r="D9" s="6"/>
      <c r="E9" s="6">
        <f>SUBTOTAL(109,MemberOfAssemblyAssemblyDistrict122General[Part of Otsego County Vote Results])</f>
        <v>2773</v>
      </c>
      <c r="F9" s="11">
        <f>SUM(MemberOfAssemblyAssemblyDistrict121General[[#This Row],[Madison County Vote Results]:[Part of Otsego County Vote Results]])</f>
        <v>40</v>
      </c>
      <c r="G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C19F-8F70-475E-9CE2-FF22B4D16EAD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703</v>
      </c>
    </row>
    <row r="2" spans="1:4" ht="25.5" x14ac:dyDescent="0.2">
      <c r="A2" s="7" t="s">
        <v>5</v>
      </c>
      <c r="B2" s="8" t="s">
        <v>45</v>
      </c>
      <c r="C2" s="9" t="s">
        <v>869</v>
      </c>
      <c r="D2" s="10" t="s">
        <v>4</v>
      </c>
    </row>
    <row r="3" spans="1:4" x14ac:dyDescent="0.2">
      <c r="A3" s="2" t="s">
        <v>704</v>
      </c>
      <c r="B3" s="3">
        <v>31800</v>
      </c>
      <c r="C3" s="11">
        <f>MemberOfAssemblyAssemblyDistrict123General[[#This Row],[Part of Broome County Vote Results]]</f>
        <v>31800</v>
      </c>
      <c r="D3" s="12">
        <f>MemberOfAssemblyAssemblyDistrict123General[[#This Row],[Total Votes by Party]]</f>
        <v>31800</v>
      </c>
    </row>
    <row r="4" spans="1:4" x14ac:dyDescent="0.2">
      <c r="A4" s="4" t="s">
        <v>0</v>
      </c>
      <c r="B4" s="5">
        <v>14946</v>
      </c>
      <c r="C4" s="11">
        <f>MemberOfAssemblyAssemblyDistrict123General[[#This Row],[Part of Broome County Vote Results]]</f>
        <v>14946</v>
      </c>
      <c r="D4" s="13"/>
    </row>
    <row r="5" spans="1:4" x14ac:dyDescent="0.2">
      <c r="A5" s="4" t="s">
        <v>1</v>
      </c>
      <c r="B5" s="5">
        <v>18</v>
      </c>
      <c r="C5" s="11">
        <f>MemberOfAssemblyAssemblyDistrict123General[[#This Row],[Part of Broome County Vote Results]]</f>
        <v>18</v>
      </c>
      <c r="D5" s="13"/>
    </row>
    <row r="6" spans="1:4" x14ac:dyDescent="0.2">
      <c r="A6" s="4" t="s">
        <v>2</v>
      </c>
      <c r="B6" s="5">
        <v>364</v>
      </c>
      <c r="C6" s="11">
        <f>MemberOfAssemblyAssemblyDistrict123General[[#This Row],[Part of Broome County Vote Results]]</f>
        <v>364</v>
      </c>
      <c r="D6" s="13"/>
    </row>
    <row r="7" spans="1:4" hidden="1" x14ac:dyDescent="0.2">
      <c r="A7" s="4" t="s">
        <v>3</v>
      </c>
      <c r="B7" s="6">
        <f>SUBTOTAL(109,MemberOfAssemblyAssemblyDistrict123General[Total Votes by Candidate])</f>
        <v>31800</v>
      </c>
      <c r="C7" s="11">
        <f>SUM(MemberOfAssemblyAssemblyDistrict122General[[#This Row],[Part of Broome County Vote Results]:[Part of Otsego County Vote Results]])</f>
        <v>8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F5F2-5889-4DCD-8697-14685363199C}">
  <sheetPr>
    <pageSetUpPr fitToPage="1"/>
  </sheetPr>
  <dimension ref="A1:F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705</v>
      </c>
    </row>
    <row r="2" spans="1:6" ht="25.5" x14ac:dyDescent="0.2">
      <c r="A2" s="7" t="s">
        <v>5</v>
      </c>
      <c r="B2" s="8" t="s">
        <v>47</v>
      </c>
      <c r="C2" s="8" t="s">
        <v>45</v>
      </c>
      <c r="D2" s="8" t="s">
        <v>48</v>
      </c>
      <c r="E2" s="9" t="s">
        <v>869</v>
      </c>
      <c r="F2" s="10" t="s">
        <v>4</v>
      </c>
    </row>
    <row r="3" spans="1:6" x14ac:dyDescent="0.2">
      <c r="A3" s="2" t="s">
        <v>706</v>
      </c>
      <c r="B3" s="3">
        <v>6080</v>
      </c>
      <c r="C3" s="3">
        <v>697</v>
      </c>
      <c r="D3" s="3">
        <v>9641</v>
      </c>
      <c r="E3" s="11">
        <f>SUM(MemberOfAssemblyAssemblyDistrict124General[[#This Row],[Tioga County Vote Results]:[Part of Chemung County Vote Results]])</f>
        <v>16418</v>
      </c>
      <c r="F3" s="12">
        <f>SUM(MemberOfAssemblyAssemblyDistrict124General[[#This Row],[Total Votes by Party]],E6)</f>
        <v>17340</v>
      </c>
    </row>
    <row r="4" spans="1:6" x14ac:dyDescent="0.2">
      <c r="A4" s="2" t="s">
        <v>707</v>
      </c>
      <c r="B4" s="3">
        <v>10436</v>
      </c>
      <c r="C4" s="3">
        <v>1125</v>
      </c>
      <c r="D4" s="3">
        <v>13756</v>
      </c>
      <c r="E4" s="11">
        <f>SUM(MemberOfAssemblyAssemblyDistrict124General[[#This Row],[Tioga County Vote Results]:[Part of Chemung County Vote Results]])</f>
        <v>25317</v>
      </c>
      <c r="F4" s="12">
        <f>SUM(E4:E5,E7)</f>
        <v>28293</v>
      </c>
    </row>
    <row r="5" spans="1:6" x14ac:dyDescent="0.2">
      <c r="A5" s="2" t="s">
        <v>708</v>
      </c>
      <c r="B5" s="3">
        <v>810</v>
      </c>
      <c r="C5" s="3">
        <v>147</v>
      </c>
      <c r="D5" s="3">
        <v>1109</v>
      </c>
      <c r="E5" s="11">
        <f>SUM(MemberOfAssemblyAssemblyDistrict124General[[#This Row],[Tioga County Vote Results]:[Part of Chemung County Vote Results]])</f>
        <v>2066</v>
      </c>
      <c r="F5" s="13"/>
    </row>
    <row r="6" spans="1:6" x14ac:dyDescent="0.2">
      <c r="A6" s="2" t="s">
        <v>709</v>
      </c>
      <c r="B6" s="3">
        <v>307</v>
      </c>
      <c r="C6" s="3">
        <v>27</v>
      </c>
      <c r="D6" s="3">
        <v>588</v>
      </c>
      <c r="E6" s="11">
        <f>SUM(MemberOfAssemblyAssemblyDistrict124General[[#This Row],[Tioga County Vote Results]:[Part of Chemung County Vote Results]])</f>
        <v>922</v>
      </c>
      <c r="F6" s="13"/>
    </row>
    <row r="7" spans="1:6" x14ac:dyDescent="0.2">
      <c r="A7" s="2" t="s">
        <v>710</v>
      </c>
      <c r="B7" s="3">
        <v>329</v>
      </c>
      <c r="C7" s="3">
        <v>57</v>
      </c>
      <c r="D7" s="3">
        <v>524</v>
      </c>
      <c r="E7" s="11">
        <f>SUM(MemberOfAssemblyAssemblyDistrict124General[[#This Row],[Tioga County Vote Results]:[Part of Chemung County Vote Results]])</f>
        <v>910</v>
      </c>
      <c r="F7" s="13"/>
    </row>
    <row r="8" spans="1:6" x14ac:dyDescent="0.2">
      <c r="A8" s="4" t="s">
        <v>0</v>
      </c>
      <c r="B8" s="3">
        <v>834</v>
      </c>
      <c r="C8" s="3">
        <v>159</v>
      </c>
      <c r="D8" s="3">
        <v>1070</v>
      </c>
      <c r="E8" s="11">
        <f>SUM(MemberOfAssemblyAssemblyDistrict124General[[#This Row],[Tioga County Vote Results]:[Part of Chemung County Vote Results]])</f>
        <v>2063</v>
      </c>
      <c r="F8" s="13"/>
    </row>
    <row r="9" spans="1:6" x14ac:dyDescent="0.2">
      <c r="A9" s="4" t="s">
        <v>1</v>
      </c>
      <c r="B9" s="3">
        <v>0</v>
      </c>
      <c r="C9" s="3">
        <v>1</v>
      </c>
      <c r="D9" s="3">
        <v>0</v>
      </c>
      <c r="E9" s="11">
        <f>SUM(MemberOfAssemblyAssemblyDistrict124General[[#This Row],[Tioga County Vote Results]:[Part of Chemung County Vote Results]])</f>
        <v>1</v>
      </c>
      <c r="F9" s="13"/>
    </row>
    <row r="10" spans="1:6" x14ac:dyDescent="0.2">
      <c r="A10" s="4" t="s">
        <v>2</v>
      </c>
      <c r="B10" s="5">
        <v>15</v>
      </c>
      <c r="C10" s="5">
        <v>0</v>
      </c>
      <c r="D10" s="5">
        <v>30</v>
      </c>
      <c r="E10" s="11">
        <f>SUM(MemberOfAssemblyAssemblyDistrict124General[[#This Row],[Tioga County Vote Results]:[Part of Chemung County Vote Results]])</f>
        <v>45</v>
      </c>
      <c r="F10" s="13"/>
    </row>
    <row r="11" spans="1:6" hidden="1" x14ac:dyDescent="0.2">
      <c r="A11" s="4" t="s">
        <v>3</v>
      </c>
      <c r="B11" s="6">
        <f>SUBTOTAL(109,MemberOfAssemblyAssemblyDistrict124General[Tioga County Vote Results])</f>
        <v>18811</v>
      </c>
      <c r="C11" s="6"/>
      <c r="D11" s="6">
        <f>SUBTOTAL(109,MemberOfAssemblyAssemblyDistrict124General[Part of Chemung County Vote Results])</f>
        <v>26718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2C20-B7BB-418F-939D-F28AD47F4EDE}">
  <sheetPr>
    <pageSetUpPr fitToPage="1"/>
  </sheetPr>
  <dimension ref="A1:E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711</v>
      </c>
    </row>
    <row r="2" spans="1:5" ht="25.5" x14ac:dyDescent="0.2">
      <c r="A2" s="7" t="s">
        <v>5</v>
      </c>
      <c r="B2" s="8" t="s">
        <v>49</v>
      </c>
      <c r="C2" s="8" t="s">
        <v>50</v>
      </c>
      <c r="D2" s="9" t="s">
        <v>869</v>
      </c>
      <c r="E2" s="10" t="s">
        <v>4</v>
      </c>
    </row>
    <row r="3" spans="1:5" x14ac:dyDescent="0.2">
      <c r="A3" s="2" t="s">
        <v>712</v>
      </c>
      <c r="B3" s="3">
        <v>29019</v>
      </c>
      <c r="C3" s="3">
        <v>6440</v>
      </c>
      <c r="D3" s="11">
        <f>SUM(MemberOfAssemblyAssemblyDistrict125General[[#This Row],[Tompkins County Vote Results]:[Part of Cortland County Vote Results]])</f>
        <v>35459</v>
      </c>
      <c r="E3" s="12">
        <f>MemberOfAssemblyAssemblyDistrict125General[[#This Row],[Total Votes by Party]]</f>
        <v>35459</v>
      </c>
    </row>
    <row r="4" spans="1:5" x14ac:dyDescent="0.2">
      <c r="A4" s="4" t="s">
        <v>0</v>
      </c>
      <c r="B4" s="3">
        <v>8479</v>
      </c>
      <c r="C4" s="3">
        <v>3486</v>
      </c>
      <c r="D4" s="11">
        <f>SUM(MemberOfAssemblyAssemblyDistrict125General[[#This Row],[Tompkins County Vote Results]:[Part of Cortland County Vote Results]])</f>
        <v>11965</v>
      </c>
      <c r="E4" s="13"/>
    </row>
    <row r="5" spans="1:5" x14ac:dyDescent="0.2">
      <c r="A5" s="4" t="s">
        <v>1</v>
      </c>
      <c r="B5" s="3">
        <v>1</v>
      </c>
      <c r="C5" s="3">
        <v>0</v>
      </c>
      <c r="D5" s="11">
        <f>SUM(MemberOfAssemblyAssemblyDistrict125General[[#This Row],[Tompkins County Vote Results]:[Part of Cortland County Vote Results]])</f>
        <v>1</v>
      </c>
      <c r="E5" s="13"/>
    </row>
    <row r="6" spans="1:5" x14ac:dyDescent="0.2">
      <c r="A6" s="4" t="s">
        <v>2</v>
      </c>
      <c r="B6" s="5">
        <v>345</v>
      </c>
      <c r="C6" s="5">
        <v>50</v>
      </c>
      <c r="D6" s="11">
        <f>SUM(MemberOfAssemblyAssemblyDistrict125General[[#This Row],[Tompkins County Vote Results]:[Part of Cortland County Vote Results]])</f>
        <v>395</v>
      </c>
      <c r="E6" s="13"/>
    </row>
    <row r="7" spans="1:5" hidden="1" x14ac:dyDescent="0.2">
      <c r="A7" s="4" t="s">
        <v>3</v>
      </c>
      <c r="B7" s="6">
        <f>SUBTOTAL(109,MemberOfAssemblyAssemblyDistrict125General[Tompkins County Vote Results])</f>
        <v>37844</v>
      </c>
      <c r="C7" s="6">
        <f>SUBTOTAL(109,MemberOfAssemblyAssemblyDistrict125General[Part of Cortland County Vote Results])</f>
        <v>9976</v>
      </c>
      <c r="D7" s="11">
        <f>SUM(MemberOfAssemblyAssemblyDistrict124General[[#This Row],[Tioga County Vote Results]:[Part of Chemung County Vote Results]])</f>
        <v>910</v>
      </c>
      <c r="E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8C73-016D-41D3-A677-CF4A98F514DC}">
  <sheetPr>
    <pageSetUpPr fitToPage="1"/>
  </sheetPr>
  <dimension ref="A1:G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713</v>
      </c>
    </row>
    <row r="2" spans="1:7" ht="25.5" x14ac:dyDescent="0.2">
      <c r="A2" s="7" t="s">
        <v>5</v>
      </c>
      <c r="B2" s="8" t="s">
        <v>51</v>
      </c>
      <c r="C2" s="8" t="s">
        <v>46</v>
      </c>
      <c r="D2" s="8" t="s">
        <v>50</v>
      </c>
      <c r="E2" s="8" t="s">
        <v>42</v>
      </c>
      <c r="F2" s="9" t="s">
        <v>869</v>
      </c>
      <c r="G2" s="10" t="s">
        <v>4</v>
      </c>
    </row>
    <row r="3" spans="1:7" x14ac:dyDescent="0.2">
      <c r="A3" s="2" t="s">
        <v>714</v>
      </c>
      <c r="B3" s="3">
        <v>7634</v>
      </c>
      <c r="C3" s="3">
        <v>1038</v>
      </c>
      <c r="D3" s="3">
        <v>2367</v>
      </c>
      <c r="E3" s="3">
        <v>10659</v>
      </c>
      <c r="F3" s="11">
        <f>SUM(MemberOfAssemblyAssemblyDistrict126General[[#This Row],[Part of Cayuga County Vote Results]:[Part of Onondaga County Vote Results]])</f>
        <v>21698</v>
      </c>
      <c r="G3" s="12">
        <f>SUM(MemberOfAssemblyAssemblyDistrict126General[[#This Row],[Total Votes by Party]],F6,F8)</f>
        <v>23317</v>
      </c>
    </row>
    <row r="4" spans="1:7" x14ac:dyDescent="0.2">
      <c r="A4" s="2" t="s">
        <v>715</v>
      </c>
      <c r="B4" s="3">
        <v>8458</v>
      </c>
      <c r="C4" s="3">
        <v>2402</v>
      </c>
      <c r="D4" s="3">
        <v>3579</v>
      </c>
      <c r="E4" s="3">
        <v>11291</v>
      </c>
      <c r="F4" s="11">
        <f>SUM(MemberOfAssemblyAssemblyDistrict126General[[#This Row],[Part of Cayuga County Vote Results]:[Part of Onondaga County Vote Results]])</f>
        <v>25730</v>
      </c>
      <c r="G4" s="12">
        <f>SUM(F4:F5,F7,F9)</f>
        <v>30505</v>
      </c>
    </row>
    <row r="5" spans="1:7" x14ac:dyDescent="0.2">
      <c r="A5" s="2" t="s">
        <v>716</v>
      </c>
      <c r="B5" s="3">
        <v>1084</v>
      </c>
      <c r="C5" s="3">
        <v>156</v>
      </c>
      <c r="D5" s="3">
        <v>368</v>
      </c>
      <c r="E5" s="3">
        <v>1835</v>
      </c>
      <c r="F5" s="11">
        <f>SUM(MemberOfAssemblyAssemblyDistrict126General[[#This Row],[Part of Cayuga County Vote Results]:[Part of Onondaga County Vote Results]])</f>
        <v>3443</v>
      </c>
      <c r="G5" s="13"/>
    </row>
    <row r="6" spans="1:7" x14ac:dyDescent="0.2">
      <c r="A6" s="2" t="s">
        <v>717</v>
      </c>
      <c r="B6" s="3">
        <v>448</v>
      </c>
      <c r="C6" s="3">
        <v>70</v>
      </c>
      <c r="D6" s="3">
        <v>103</v>
      </c>
      <c r="E6" s="3">
        <v>466</v>
      </c>
      <c r="F6" s="11">
        <f>SUM(MemberOfAssemblyAssemblyDistrict126General[[#This Row],[Part of Cayuga County Vote Results]:[Part of Onondaga County Vote Results]])</f>
        <v>1087</v>
      </c>
      <c r="G6" s="13"/>
    </row>
    <row r="7" spans="1:7" x14ac:dyDescent="0.2">
      <c r="A7" s="2" t="s">
        <v>718</v>
      </c>
      <c r="B7" s="3">
        <v>366</v>
      </c>
      <c r="C7" s="3">
        <v>61</v>
      </c>
      <c r="D7" s="3">
        <v>111</v>
      </c>
      <c r="E7" s="3">
        <v>616</v>
      </c>
      <c r="F7" s="11">
        <f>SUM(MemberOfAssemblyAssemblyDistrict126General[[#This Row],[Part of Cayuga County Vote Results]:[Part of Onondaga County Vote Results]])</f>
        <v>1154</v>
      </c>
      <c r="G7" s="13"/>
    </row>
    <row r="8" spans="1:7" x14ac:dyDescent="0.2">
      <c r="A8" s="2" t="s">
        <v>719</v>
      </c>
      <c r="B8" s="3">
        <v>189</v>
      </c>
      <c r="C8" s="3">
        <v>31</v>
      </c>
      <c r="D8" s="3">
        <v>68</v>
      </c>
      <c r="E8" s="3">
        <v>244</v>
      </c>
      <c r="F8" s="11">
        <f>SUM(MemberOfAssemblyAssemblyDistrict126General[[#This Row],[Part of Cayuga County Vote Results]:[Part of Onondaga County Vote Results]])</f>
        <v>532</v>
      </c>
      <c r="G8" s="13"/>
    </row>
    <row r="9" spans="1:7" x14ac:dyDescent="0.2">
      <c r="A9" s="2" t="s">
        <v>720</v>
      </c>
      <c r="B9" s="3">
        <v>72</v>
      </c>
      <c r="C9" s="3">
        <v>12</v>
      </c>
      <c r="D9" s="3">
        <v>32</v>
      </c>
      <c r="E9" s="3">
        <v>62</v>
      </c>
      <c r="F9" s="11">
        <f>SUM(MemberOfAssemblyAssemblyDistrict126General[[#This Row],[Part of Cayuga County Vote Results]:[Part of Onondaga County Vote Results]])</f>
        <v>178</v>
      </c>
      <c r="G9" s="13"/>
    </row>
    <row r="10" spans="1:7" x14ac:dyDescent="0.2">
      <c r="A10" s="4" t="s">
        <v>0</v>
      </c>
      <c r="B10" s="3">
        <v>463</v>
      </c>
      <c r="C10" s="3">
        <v>165</v>
      </c>
      <c r="D10" s="3">
        <v>24</v>
      </c>
      <c r="E10" s="3">
        <v>898</v>
      </c>
      <c r="F10" s="11">
        <f>SUM(MemberOfAssemblyAssemblyDistrict126General[[#This Row],[Part of Cayuga County Vote Results]:[Part of Onondaga County Vote Results]])</f>
        <v>1550</v>
      </c>
      <c r="G10" s="13"/>
    </row>
    <row r="11" spans="1:7" x14ac:dyDescent="0.2">
      <c r="A11" s="4" t="s">
        <v>1</v>
      </c>
      <c r="B11" s="3">
        <v>16</v>
      </c>
      <c r="C11" s="3">
        <v>0</v>
      </c>
      <c r="D11" s="3">
        <v>0</v>
      </c>
      <c r="E11" s="3">
        <v>0</v>
      </c>
      <c r="F11" s="11">
        <f>SUM(MemberOfAssemblyAssemblyDistrict126General[[#This Row],[Part of Cayuga County Vote Results]:[Part of Onondaga County Vote Results]])</f>
        <v>16</v>
      </c>
      <c r="G11" s="13"/>
    </row>
    <row r="12" spans="1:7" x14ac:dyDescent="0.2">
      <c r="A12" s="4" t="s">
        <v>2</v>
      </c>
      <c r="B12" s="5">
        <v>4</v>
      </c>
      <c r="C12" s="5">
        <v>1</v>
      </c>
      <c r="D12" s="5">
        <v>1</v>
      </c>
      <c r="E12" s="5">
        <v>8</v>
      </c>
      <c r="F12" s="11">
        <f>SUM(MemberOfAssemblyAssemblyDistrict126General[[#This Row],[Part of Cayuga County Vote Results]:[Part of Onondaga County Vote Results]])</f>
        <v>14</v>
      </c>
      <c r="G12" s="13"/>
    </row>
    <row r="13" spans="1:7" hidden="1" x14ac:dyDescent="0.2">
      <c r="A13" s="4" t="s">
        <v>3</v>
      </c>
      <c r="B13" s="6">
        <f>SUBTOTAL(109,MemberOfAssemblyAssemblyDistrict126General[Part of Cayuga County Vote Results])</f>
        <v>18734</v>
      </c>
      <c r="C13" s="6"/>
      <c r="D13" s="6"/>
      <c r="E13" s="6">
        <f>SUBTOTAL(109,MemberOfAssemblyAssemblyDistrict126General[Part of Onondaga County Vote Results])</f>
        <v>26079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0933-FAA2-449E-970A-1BBC327E91F9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721</v>
      </c>
    </row>
    <row r="2" spans="1:4" ht="25.5" x14ac:dyDescent="0.2">
      <c r="A2" s="7" t="s">
        <v>5</v>
      </c>
      <c r="B2" s="8" t="s">
        <v>42</v>
      </c>
      <c r="C2" s="9" t="s">
        <v>869</v>
      </c>
      <c r="D2" s="10" t="s">
        <v>4</v>
      </c>
    </row>
    <row r="3" spans="1:4" x14ac:dyDescent="0.2">
      <c r="A3" s="2" t="s">
        <v>722</v>
      </c>
      <c r="B3" s="3">
        <v>31830</v>
      </c>
      <c r="C3" s="11">
        <f>MemberOfAssemblyAssemblyDistrict127General[[#This Row],[Part of Onondaga County Vote Results]]</f>
        <v>31830</v>
      </c>
      <c r="D3" s="12">
        <f>SUM(MemberOfAssemblyAssemblyDistrict127General[[#This Row],[Total Votes by Party]],C6,C8:C9)</f>
        <v>33946</v>
      </c>
    </row>
    <row r="4" spans="1:4" x14ac:dyDescent="0.2">
      <c r="A4" s="2" t="s">
        <v>723</v>
      </c>
      <c r="B4" s="3">
        <v>20222</v>
      </c>
      <c r="C4" s="11">
        <f>MemberOfAssemblyAssemblyDistrict127General[[#This Row],[Part of Onondaga County Vote Results]]</f>
        <v>20222</v>
      </c>
      <c r="D4" s="12">
        <f>SUM(C4:C5,C7)</f>
        <v>24567</v>
      </c>
    </row>
    <row r="5" spans="1:4" x14ac:dyDescent="0.2">
      <c r="A5" s="2" t="s">
        <v>724</v>
      </c>
      <c r="B5" s="3">
        <v>3394</v>
      </c>
      <c r="C5" s="11">
        <f>MemberOfAssemblyAssemblyDistrict127General[[#This Row],[Part of Onondaga County Vote Results]]</f>
        <v>3394</v>
      </c>
      <c r="D5" s="13"/>
    </row>
    <row r="6" spans="1:4" x14ac:dyDescent="0.2">
      <c r="A6" s="2" t="s">
        <v>725</v>
      </c>
      <c r="B6" s="3">
        <v>1304</v>
      </c>
      <c r="C6" s="11">
        <f>MemberOfAssemblyAssemblyDistrict127General[[#This Row],[Part of Onondaga County Vote Results]]</f>
        <v>1304</v>
      </c>
      <c r="D6" s="13"/>
    </row>
    <row r="7" spans="1:4" x14ac:dyDescent="0.2">
      <c r="A7" s="2" t="s">
        <v>726</v>
      </c>
      <c r="B7" s="3">
        <v>951</v>
      </c>
      <c r="C7" s="11">
        <f>MemberOfAssemblyAssemblyDistrict127General[[#This Row],[Part of Onondaga County Vote Results]]</f>
        <v>951</v>
      </c>
      <c r="D7" s="13"/>
    </row>
    <row r="8" spans="1:4" x14ac:dyDescent="0.2">
      <c r="A8" s="2" t="s">
        <v>727</v>
      </c>
      <c r="B8" s="3">
        <v>581</v>
      </c>
      <c r="C8" s="11">
        <f>MemberOfAssemblyAssemblyDistrict127General[[#This Row],[Part of Onondaga County Vote Results]]</f>
        <v>581</v>
      </c>
      <c r="D8" s="13"/>
    </row>
    <row r="9" spans="1:4" x14ac:dyDescent="0.2">
      <c r="A9" s="2" t="s">
        <v>728</v>
      </c>
      <c r="B9" s="3">
        <v>231</v>
      </c>
      <c r="C9" s="11">
        <f>MemberOfAssemblyAssemblyDistrict127General[[#This Row],[Part of Onondaga County Vote Results]]</f>
        <v>231</v>
      </c>
      <c r="D9" s="13"/>
    </row>
    <row r="10" spans="1:4" x14ac:dyDescent="0.2">
      <c r="A10" s="4" t="s">
        <v>0</v>
      </c>
      <c r="B10" s="5">
        <v>1260</v>
      </c>
      <c r="C10" s="11">
        <f>MemberOfAssemblyAssemblyDistrict127General[[#This Row],[Part of Onondaga County Vote Results]]</f>
        <v>1260</v>
      </c>
      <c r="D10" s="13"/>
    </row>
    <row r="11" spans="1:4" x14ac:dyDescent="0.2">
      <c r="A11" s="4" t="s">
        <v>1</v>
      </c>
      <c r="B11" s="5">
        <v>0</v>
      </c>
      <c r="C11" s="11">
        <f>MemberOfAssemblyAssemblyDistrict127General[[#This Row],[Part of Onondaga County Vote Results]]</f>
        <v>0</v>
      </c>
      <c r="D11" s="13"/>
    </row>
    <row r="12" spans="1:4" x14ac:dyDescent="0.2">
      <c r="A12" s="4" t="s">
        <v>2</v>
      </c>
      <c r="B12" s="5">
        <v>29</v>
      </c>
      <c r="C12" s="11">
        <f>MemberOfAssemblyAssemblyDistrict127General[[#This Row],[Part of Onondaga County Vote Results]]</f>
        <v>29</v>
      </c>
      <c r="D12" s="13"/>
    </row>
    <row r="13" spans="1:4" hidden="1" x14ac:dyDescent="0.2">
      <c r="A13" s="4" t="s">
        <v>3</v>
      </c>
      <c r="B13" s="6">
        <f>SUBTOTAL(109,MemberOfAssemblyAssemblyDistrict127General[Total Votes by Candidate])</f>
        <v>58513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B84BD-89F1-43CC-921B-B1DEC03EDDD7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729</v>
      </c>
    </row>
    <row r="2" spans="1:4" ht="25.5" x14ac:dyDescent="0.2">
      <c r="A2" s="7" t="s">
        <v>5</v>
      </c>
      <c r="B2" s="8" t="s">
        <v>42</v>
      </c>
      <c r="C2" s="9" t="s">
        <v>869</v>
      </c>
      <c r="D2" s="10" t="s">
        <v>4</v>
      </c>
    </row>
    <row r="3" spans="1:4" x14ac:dyDescent="0.2">
      <c r="A3" s="2" t="s">
        <v>730</v>
      </c>
      <c r="B3" s="3">
        <v>28803</v>
      </c>
      <c r="C3" s="11">
        <f>MemberOfAssemblyAssemblyDistrict128General[[#This Row],[Part of Onondaga County Vote Results]]</f>
        <v>28803</v>
      </c>
      <c r="D3" s="12">
        <f>SUM(C3:C6)</f>
        <v>33323</v>
      </c>
    </row>
    <row r="4" spans="1:4" x14ac:dyDescent="0.2">
      <c r="A4" s="2" t="s">
        <v>731</v>
      </c>
      <c r="B4" s="3">
        <v>1658</v>
      </c>
      <c r="C4" s="11">
        <f>MemberOfAssemblyAssemblyDistrict128General[[#This Row],[Part of Onondaga County Vote Results]]</f>
        <v>1658</v>
      </c>
      <c r="D4" s="13"/>
    </row>
    <row r="5" spans="1:4" x14ac:dyDescent="0.2">
      <c r="A5" s="2" t="s">
        <v>732</v>
      </c>
      <c r="B5" s="3">
        <v>2223</v>
      </c>
      <c r="C5" s="11">
        <f>MemberOfAssemblyAssemblyDistrict128General[[#This Row],[Part of Onondaga County Vote Results]]</f>
        <v>2223</v>
      </c>
      <c r="D5" s="13"/>
    </row>
    <row r="6" spans="1:4" x14ac:dyDescent="0.2">
      <c r="A6" s="2" t="s">
        <v>733</v>
      </c>
      <c r="B6" s="3">
        <v>639</v>
      </c>
      <c r="C6" s="11">
        <f>MemberOfAssemblyAssemblyDistrict128General[[#This Row],[Part of Onondaga County Vote Results]]</f>
        <v>639</v>
      </c>
      <c r="D6" s="13"/>
    </row>
    <row r="7" spans="1:4" x14ac:dyDescent="0.2">
      <c r="A7" s="4" t="s">
        <v>0</v>
      </c>
      <c r="B7" s="5">
        <v>12121</v>
      </c>
      <c r="C7" s="11">
        <f>MemberOfAssemblyAssemblyDistrict128General[[#This Row],[Part of Onondaga County Vote Results]]</f>
        <v>12121</v>
      </c>
      <c r="D7" s="13"/>
    </row>
    <row r="8" spans="1:4" x14ac:dyDescent="0.2">
      <c r="A8" s="4" t="s">
        <v>1</v>
      </c>
      <c r="B8" s="5">
        <v>0</v>
      </c>
      <c r="C8" s="11">
        <f>MemberOfAssemblyAssemblyDistrict128General[[#This Row],[Part of Onondaga County Vote Results]]</f>
        <v>0</v>
      </c>
      <c r="D8" s="13"/>
    </row>
    <row r="9" spans="1:4" x14ac:dyDescent="0.2">
      <c r="A9" s="4" t="s">
        <v>2</v>
      </c>
      <c r="B9" s="5">
        <v>357</v>
      </c>
      <c r="C9" s="11">
        <f>MemberOfAssemblyAssemblyDistrict128General[[#This Row],[Part of Onondaga County Vote Results]]</f>
        <v>357</v>
      </c>
      <c r="D9" s="13"/>
    </row>
    <row r="10" spans="1:4" hidden="1" x14ac:dyDescent="0.2">
      <c r="A10" s="4" t="s">
        <v>3</v>
      </c>
      <c r="B10" s="6">
        <f>SUBTOTAL(109,MemberOfAssemblyAssemblyDistrict128General[Total Votes by Candidate])</f>
        <v>33323</v>
      </c>
      <c r="C10" s="11">
        <f>MemberOfAssemblyAssemblyDistrict127General[[#This Row],[Part of Onondaga County Vote Results]]</f>
        <v>1260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EE31-20EC-416A-9444-93A98D279E26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734</v>
      </c>
    </row>
    <row r="2" spans="1:4" ht="25.5" x14ac:dyDescent="0.2">
      <c r="A2" s="7" t="s">
        <v>5</v>
      </c>
      <c r="B2" s="8" t="s">
        <v>42</v>
      </c>
      <c r="C2" s="9" t="s">
        <v>869</v>
      </c>
      <c r="D2" s="10" t="s">
        <v>4</v>
      </c>
    </row>
    <row r="3" spans="1:4" x14ac:dyDescent="0.2">
      <c r="A3" s="2" t="s">
        <v>735</v>
      </c>
      <c r="B3" s="3">
        <v>24702</v>
      </c>
      <c r="C3" s="11">
        <f>MemberOfAssemblyAssemblyDistrict129General[[#This Row],[Part of Onondaga County Vote Results]]</f>
        <v>24702</v>
      </c>
      <c r="D3" s="12">
        <f>SUM(MemberOfAssemblyAssemblyDistrict129General[[#This Row],[Total Votes by Party]],C6:C7)</f>
        <v>26937</v>
      </c>
    </row>
    <row r="4" spans="1:4" x14ac:dyDescent="0.2">
      <c r="A4" s="2" t="s">
        <v>736</v>
      </c>
      <c r="B4" s="3">
        <v>7747</v>
      </c>
      <c r="C4" s="11">
        <f>MemberOfAssemblyAssemblyDistrict129General[[#This Row],[Part of Onondaga County Vote Results]]</f>
        <v>7747</v>
      </c>
      <c r="D4" s="12">
        <f>MemberOfAssemblyAssemblyDistrict129General[[#This Row],[Total Votes by Party]]</f>
        <v>7747</v>
      </c>
    </row>
    <row r="5" spans="1:4" x14ac:dyDescent="0.2">
      <c r="A5" s="2" t="s">
        <v>737</v>
      </c>
      <c r="B5" s="3">
        <v>1715</v>
      </c>
      <c r="C5" s="11">
        <f>MemberOfAssemblyAssemblyDistrict129General[[#This Row],[Part of Onondaga County Vote Results]]</f>
        <v>1715</v>
      </c>
      <c r="D5" s="12">
        <f>MemberOfAssemblyAssemblyDistrict129General[[#This Row],[Total Votes by Party]]</f>
        <v>1715</v>
      </c>
    </row>
    <row r="6" spans="1:4" x14ac:dyDescent="0.2">
      <c r="A6" s="2" t="s">
        <v>738</v>
      </c>
      <c r="B6" s="3">
        <v>1680</v>
      </c>
      <c r="C6" s="11">
        <f>MemberOfAssemblyAssemblyDistrict129General[[#This Row],[Part of Onondaga County Vote Results]]</f>
        <v>1680</v>
      </c>
      <c r="D6" s="13"/>
    </row>
    <row r="7" spans="1:4" x14ac:dyDescent="0.2">
      <c r="A7" s="2" t="s">
        <v>739</v>
      </c>
      <c r="B7" s="3">
        <v>555</v>
      </c>
      <c r="C7" s="11">
        <f>MemberOfAssemblyAssemblyDistrict129General[[#This Row],[Part of Onondaga County Vote Results]]</f>
        <v>555</v>
      </c>
      <c r="D7" s="13"/>
    </row>
    <row r="8" spans="1:4" x14ac:dyDescent="0.2">
      <c r="A8" s="4" t="s">
        <v>0</v>
      </c>
      <c r="B8" s="5">
        <v>1496</v>
      </c>
      <c r="C8" s="11">
        <f>MemberOfAssemblyAssemblyDistrict129General[[#This Row],[Part of Onondaga County Vote Results]]</f>
        <v>1496</v>
      </c>
      <c r="D8" s="13"/>
    </row>
    <row r="9" spans="1:4" x14ac:dyDescent="0.2">
      <c r="A9" s="4" t="s">
        <v>1</v>
      </c>
      <c r="B9" s="5">
        <v>0</v>
      </c>
      <c r="C9" s="11">
        <f>MemberOfAssemblyAssemblyDistrict129General[[#This Row],[Part of Onondaga County Vote Results]]</f>
        <v>0</v>
      </c>
      <c r="D9" s="13"/>
    </row>
    <row r="10" spans="1:4" x14ac:dyDescent="0.2">
      <c r="A10" s="4" t="s">
        <v>2</v>
      </c>
      <c r="B10" s="5">
        <v>72</v>
      </c>
      <c r="C10" s="11">
        <f>MemberOfAssemblyAssemblyDistrict129General[[#This Row],[Part of Onondaga County Vote Results]]</f>
        <v>72</v>
      </c>
      <c r="D10" s="13"/>
    </row>
    <row r="11" spans="1:4" hidden="1" x14ac:dyDescent="0.2">
      <c r="A11" s="4" t="s">
        <v>3</v>
      </c>
      <c r="B11" s="6">
        <f>SUBTOTAL(109,MemberOfAssemblyAssemblyDistrict129General[Total Votes by Candidate])</f>
        <v>36399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60F4-D3DE-460C-9C40-1544EB30C0A4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147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148</v>
      </c>
      <c r="B3" s="3">
        <v>30699</v>
      </c>
      <c r="C3" s="11">
        <f>MemberOfAssemblyAssemblyDistrict13General[[#This Row],[Part of Nassau County Vote Results]]</f>
        <v>30699</v>
      </c>
      <c r="D3" s="12">
        <f>SUM(MemberOfAssemblyAssemblyDistrict13General[[#This Row],[Total Votes by Party]],C6:C8)</f>
        <v>31602</v>
      </c>
    </row>
    <row r="4" spans="1:4" x14ac:dyDescent="0.2">
      <c r="A4" s="2" t="s">
        <v>149</v>
      </c>
      <c r="B4" s="3">
        <v>13451</v>
      </c>
      <c r="C4" s="11">
        <f>MemberOfAssemblyAssemblyDistrict13General[[#This Row],[Part of Nassau County Vote Results]]</f>
        <v>13451</v>
      </c>
      <c r="D4" s="12">
        <f>SUM(C4:C5)</f>
        <v>14804</v>
      </c>
    </row>
    <row r="5" spans="1:4" x14ac:dyDescent="0.2">
      <c r="A5" s="2" t="s">
        <v>150</v>
      </c>
      <c r="B5" s="3">
        <v>1353</v>
      </c>
      <c r="C5" s="11">
        <f>MemberOfAssemblyAssemblyDistrict13General[[#This Row],[Part of Nassau County Vote Results]]</f>
        <v>1353</v>
      </c>
      <c r="D5" s="13"/>
    </row>
    <row r="6" spans="1:4" x14ac:dyDescent="0.2">
      <c r="A6" s="2" t="s">
        <v>151</v>
      </c>
      <c r="B6" s="3">
        <v>497</v>
      </c>
      <c r="C6" s="11">
        <f>MemberOfAssemblyAssemblyDistrict13General[[#This Row],[Part of Nassau County Vote Results]]</f>
        <v>497</v>
      </c>
      <c r="D6" s="13"/>
    </row>
    <row r="7" spans="1:4" x14ac:dyDescent="0.2">
      <c r="A7" s="2" t="s">
        <v>152</v>
      </c>
      <c r="B7" s="3">
        <v>316</v>
      </c>
      <c r="C7" s="11">
        <f>MemberOfAssemblyAssemblyDistrict13General[[#This Row],[Part of Nassau County Vote Results]]</f>
        <v>316</v>
      </c>
      <c r="D7" s="13"/>
    </row>
    <row r="8" spans="1:4" x14ac:dyDescent="0.2">
      <c r="A8" s="2" t="s">
        <v>153</v>
      </c>
      <c r="B8" s="3">
        <v>90</v>
      </c>
      <c r="C8" s="11">
        <f>MemberOfAssemblyAssemblyDistrict13General[[#This Row],[Part of Nassau County Vote Results]]</f>
        <v>90</v>
      </c>
      <c r="D8" s="13"/>
    </row>
    <row r="9" spans="1:4" x14ac:dyDescent="0.2">
      <c r="A9" s="4" t="s">
        <v>0</v>
      </c>
      <c r="B9" s="5">
        <v>1381</v>
      </c>
      <c r="C9" s="11">
        <f>MemberOfAssemblyAssemblyDistrict13General[[#This Row],[Part of Nassau County Vote Results]]</f>
        <v>1381</v>
      </c>
      <c r="D9" s="13"/>
    </row>
    <row r="10" spans="1:4" x14ac:dyDescent="0.2">
      <c r="A10" s="4" t="s">
        <v>1</v>
      </c>
      <c r="B10" s="5">
        <v>17</v>
      </c>
      <c r="C10" s="11">
        <f>MemberOfAssemblyAssemblyDistrict13General[[#This Row],[Part of Nassau County Vote Results]]</f>
        <v>17</v>
      </c>
      <c r="D10" s="13"/>
    </row>
    <row r="11" spans="1:4" x14ac:dyDescent="0.2">
      <c r="A11" s="4" t="s">
        <v>2</v>
      </c>
      <c r="B11" s="5">
        <v>14</v>
      </c>
      <c r="C11" s="11">
        <f>MemberOfAssemblyAssemblyDistrict13General[[#This Row],[Part of Nassau County Vote Results]]</f>
        <v>14</v>
      </c>
      <c r="D11" s="13"/>
    </row>
    <row r="12" spans="1:4" hidden="1" x14ac:dyDescent="0.2">
      <c r="A12" s="4" t="s">
        <v>3</v>
      </c>
      <c r="B12" s="6">
        <f>SUBTOTAL(109,MemberOfAssemblyAssemblyDistrict13General[Total Votes by Candidate])</f>
        <v>46406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0C2F-6E40-4FBF-A34A-22E95D46E595}">
  <sheetPr>
    <pageSetUpPr fitToPage="1"/>
  </sheetPr>
  <dimension ref="A1:F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740</v>
      </c>
    </row>
    <row r="2" spans="1:6" ht="25.5" x14ac:dyDescent="0.2">
      <c r="A2" s="7" t="s">
        <v>5</v>
      </c>
      <c r="B2" s="8" t="s">
        <v>52</v>
      </c>
      <c r="C2" s="8" t="s">
        <v>51</v>
      </c>
      <c r="D2" s="8" t="s">
        <v>43</v>
      </c>
      <c r="E2" s="9" t="s">
        <v>869</v>
      </c>
      <c r="F2" s="10" t="s">
        <v>4</v>
      </c>
    </row>
    <row r="3" spans="1:6" x14ac:dyDescent="0.2">
      <c r="A3" s="2" t="s">
        <v>741</v>
      </c>
      <c r="B3" s="3">
        <v>9537</v>
      </c>
      <c r="C3" s="3">
        <v>2821</v>
      </c>
      <c r="D3" s="3">
        <v>1520</v>
      </c>
      <c r="E3" s="11">
        <f>SUM(MemberOfAssemblyAssemblyDistrict130General[[#This Row],[Wayne County Vote Results]:[Part of Oswego County Vote Results]])</f>
        <v>13878</v>
      </c>
      <c r="F3" s="12">
        <f>SUM(MemberOfAssemblyAssemblyDistrict130General[[#This Row],[Total Votes by Party]],E6)</f>
        <v>14679</v>
      </c>
    </row>
    <row r="4" spans="1:6" x14ac:dyDescent="0.2">
      <c r="A4" s="2" t="s">
        <v>742</v>
      </c>
      <c r="B4" s="3">
        <v>17311</v>
      </c>
      <c r="C4" s="3">
        <v>4882</v>
      </c>
      <c r="D4" s="3">
        <v>1936</v>
      </c>
      <c r="E4" s="11">
        <f>SUM(MemberOfAssemblyAssemblyDistrict130General[[#This Row],[Wayne County Vote Results]:[Part of Oswego County Vote Results]])</f>
        <v>24129</v>
      </c>
      <c r="F4" s="12">
        <f>SUM(E4:E5,E7:E8)</f>
        <v>29280</v>
      </c>
    </row>
    <row r="5" spans="1:6" x14ac:dyDescent="0.2">
      <c r="A5" s="2" t="s">
        <v>743</v>
      </c>
      <c r="B5" s="3">
        <v>2942</v>
      </c>
      <c r="C5" s="3">
        <v>769</v>
      </c>
      <c r="D5" s="3">
        <v>299</v>
      </c>
      <c r="E5" s="11">
        <f>SUM(MemberOfAssemblyAssemblyDistrict130General[[#This Row],[Wayne County Vote Results]:[Part of Oswego County Vote Results]])</f>
        <v>4010</v>
      </c>
      <c r="F5" s="13"/>
    </row>
    <row r="6" spans="1:6" x14ac:dyDescent="0.2">
      <c r="A6" s="2" t="s">
        <v>744</v>
      </c>
      <c r="B6" s="3">
        <v>555</v>
      </c>
      <c r="C6" s="3">
        <v>158</v>
      </c>
      <c r="D6" s="3">
        <v>88</v>
      </c>
      <c r="E6" s="11">
        <f>SUM(MemberOfAssemblyAssemblyDistrict130General[[#This Row],[Wayne County Vote Results]:[Part of Oswego County Vote Results]])</f>
        <v>801</v>
      </c>
      <c r="F6" s="13"/>
    </row>
    <row r="7" spans="1:6" x14ac:dyDescent="0.2">
      <c r="A7" s="2" t="s">
        <v>745</v>
      </c>
      <c r="B7" s="3">
        <v>654</v>
      </c>
      <c r="C7" s="3">
        <v>174</v>
      </c>
      <c r="D7" s="3">
        <v>88</v>
      </c>
      <c r="E7" s="11">
        <f>SUM(MemberOfAssemblyAssemblyDistrict130General[[#This Row],[Wayne County Vote Results]:[Part of Oswego County Vote Results]])</f>
        <v>916</v>
      </c>
      <c r="F7" s="13"/>
    </row>
    <row r="8" spans="1:6" x14ac:dyDescent="0.2">
      <c r="A8" s="2" t="s">
        <v>746</v>
      </c>
      <c r="B8" s="3">
        <v>174</v>
      </c>
      <c r="C8" s="3">
        <v>38</v>
      </c>
      <c r="D8" s="3">
        <v>13</v>
      </c>
      <c r="E8" s="11">
        <f>SUM(MemberOfAssemblyAssemblyDistrict130General[[#This Row],[Wayne County Vote Results]:[Part of Oswego County Vote Results]])</f>
        <v>225</v>
      </c>
      <c r="F8" s="13"/>
    </row>
    <row r="9" spans="1:6" x14ac:dyDescent="0.2">
      <c r="A9" s="4" t="s">
        <v>0</v>
      </c>
      <c r="B9" s="3">
        <v>1215</v>
      </c>
      <c r="C9" s="3">
        <v>587</v>
      </c>
      <c r="D9" s="3">
        <v>454</v>
      </c>
      <c r="E9" s="11">
        <f>SUM(MemberOfAssemblyAssemblyDistrict130General[[#This Row],[Wayne County Vote Results]:[Part of Oswego County Vote Results]])</f>
        <v>2256</v>
      </c>
      <c r="F9" s="13"/>
    </row>
    <row r="10" spans="1:6" x14ac:dyDescent="0.2">
      <c r="A10" s="4" t="s">
        <v>1</v>
      </c>
      <c r="B10" s="3">
        <v>8</v>
      </c>
      <c r="C10" s="3">
        <v>5</v>
      </c>
      <c r="D10" s="3">
        <v>3</v>
      </c>
      <c r="E10" s="11">
        <f>SUM(MemberOfAssemblyAssemblyDistrict130General[[#This Row],[Wayne County Vote Results]:[Part of Oswego County Vote Results]])</f>
        <v>16</v>
      </c>
      <c r="F10" s="13"/>
    </row>
    <row r="11" spans="1:6" x14ac:dyDescent="0.2">
      <c r="A11" s="4" t="s">
        <v>2</v>
      </c>
      <c r="B11" s="5">
        <v>6</v>
      </c>
      <c r="C11" s="5">
        <v>3</v>
      </c>
      <c r="D11" s="5">
        <v>0</v>
      </c>
      <c r="E11" s="11">
        <f>SUM(MemberOfAssemblyAssemblyDistrict130General[[#This Row],[Wayne County Vote Results]:[Part of Oswego County Vote Results]])</f>
        <v>9</v>
      </c>
      <c r="F11" s="13"/>
    </row>
    <row r="12" spans="1:6" hidden="1" x14ac:dyDescent="0.2">
      <c r="A12" s="4" t="s">
        <v>3</v>
      </c>
      <c r="B12" s="6">
        <f>SUBTOTAL(109,MemberOfAssemblyAssemblyDistrict130General[Wayne County Vote Results])</f>
        <v>32402</v>
      </c>
      <c r="C12" s="6"/>
      <c r="D12" s="6">
        <f>SUBTOTAL(109,MemberOfAssemblyAssemblyDistrict130General[Part of Oswego County Vote Results])</f>
        <v>4401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7B10-519C-4DB4-A58D-462BBE7B5FD5}">
  <sheetPr>
    <pageSetUpPr fitToPage="1"/>
  </sheetPr>
  <dimension ref="A1:E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747</v>
      </c>
    </row>
    <row r="2" spans="1:5" ht="25.5" x14ac:dyDescent="0.2">
      <c r="A2" s="7" t="s">
        <v>5</v>
      </c>
      <c r="B2" s="8" t="s">
        <v>53</v>
      </c>
      <c r="C2" s="8" t="s">
        <v>54</v>
      </c>
      <c r="D2" s="9" t="s">
        <v>869</v>
      </c>
      <c r="E2" s="10" t="s">
        <v>4</v>
      </c>
    </row>
    <row r="3" spans="1:5" x14ac:dyDescent="0.2">
      <c r="A3" s="2" t="s">
        <v>748</v>
      </c>
      <c r="B3" s="3">
        <v>26278</v>
      </c>
      <c r="C3" s="3">
        <v>5296</v>
      </c>
      <c r="D3" s="11">
        <f>SUM(MemberOfAssemblyAssemblyDistrict131General[[#This Row],[Ontario County Vote Results]:[Part of Seneca County Vote Results]])</f>
        <v>31574</v>
      </c>
      <c r="E3" s="12">
        <f>SUM(D3:D5)</f>
        <v>38802</v>
      </c>
    </row>
    <row r="4" spans="1:5" x14ac:dyDescent="0.2">
      <c r="A4" s="2" t="s">
        <v>749</v>
      </c>
      <c r="B4" s="3">
        <v>4320</v>
      </c>
      <c r="C4" s="3">
        <v>852</v>
      </c>
      <c r="D4" s="11">
        <f>SUM(MemberOfAssemblyAssemblyDistrict131General[[#This Row],[Ontario County Vote Results]:[Part of Seneca County Vote Results]])</f>
        <v>5172</v>
      </c>
      <c r="E4" s="13"/>
    </row>
    <row r="5" spans="1:5" x14ac:dyDescent="0.2">
      <c r="A5" s="2" t="s">
        <v>750</v>
      </c>
      <c r="B5" s="3">
        <v>1708</v>
      </c>
      <c r="C5" s="3">
        <v>348</v>
      </c>
      <c r="D5" s="11">
        <f>SUM(MemberOfAssemblyAssemblyDistrict131General[[#This Row],[Ontario County Vote Results]:[Part of Seneca County Vote Results]])</f>
        <v>2056</v>
      </c>
      <c r="E5" s="13"/>
    </row>
    <row r="6" spans="1:5" x14ac:dyDescent="0.2">
      <c r="A6" s="4" t="s">
        <v>0</v>
      </c>
      <c r="B6" s="3">
        <v>12520</v>
      </c>
      <c r="C6" s="3">
        <v>2269</v>
      </c>
      <c r="D6" s="11">
        <f>SUM(MemberOfAssemblyAssemblyDistrict131General[[#This Row],[Ontario County Vote Results]:[Part of Seneca County Vote Results]])</f>
        <v>14789</v>
      </c>
      <c r="E6" s="13"/>
    </row>
    <row r="7" spans="1:5" x14ac:dyDescent="0.2">
      <c r="A7" s="4" t="s">
        <v>1</v>
      </c>
      <c r="B7" s="3">
        <v>2</v>
      </c>
      <c r="C7" s="3">
        <v>1</v>
      </c>
      <c r="D7" s="11">
        <f>SUM(MemberOfAssemblyAssemblyDistrict131General[[#This Row],[Ontario County Vote Results]:[Part of Seneca County Vote Results]])</f>
        <v>3</v>
      </c>
      <c r="E7" s="13"/>
    </row>
    <row r="8" spans="1:5" x14ac:dyDescent="0.2">
      <c r="A8" s="4" t="s">
        <v>2</v>
      </c>
      <c r="B8" s="5">
        <v>298</v>
      </c>
      <c r="C8" s="5">
        <v>38</v>
      </c>
      <c r="D8" s="11">
        <f>SUM(MemberOfAssemblyAssemblyDistrict131General[[#This Row],[Ontario County Vote Results]:[Part of Seneca County Vote Results]])</f>
        <v>336</v>
      </c>
      <c r="E8" s="13"/>
    </row>
    <row r="9" spans="1:5" hidden="1" x14ac:dyDescent="0.2">
      <c r="A9" s="4" t="s">
        <v>3</v>
      </c>
      <c r="B9" s="6">
        <f>SUBTOTAL(109,MemberOfAssemblyAssemblyDistrict131General[Ontario County Vote Results])</f>
        <v>45126</v>
      </c>
      <c r="C9" s="6">
        <f>SUBTOTAL(109,MemberOfAssemblyAssemblyDistrict131General[Part of Seneca County Vote Results])</f>
        <v>8804</v>
      </c>
      <c r="D9" s="11">
        <f>SUM(MemberOfAssemblyAssemblyDistrict130General[[#This Row],[Wayne County Vote Results]:[Part of Oswego County Vote Results]])</f>
        <v>2256</v>
      </c>
      <c r="E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82C11-EF59-4469-9FD1-C680A37723F1}">
  <sheetPr>
    <pageSetUpPr fitToPage="1"/>
  </sheetPr>
  <dimension ref="A1:H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" t="s">
        <v>751</v>
      </c>
    </row>
    <row r="2" spans="1:8" ht="25.5" x14ac:dyDescent="0.2">
      <c r="A2" s="7" t="s">
        <v>5</v>
      </c>
      <c r="B2" s="8" t="s">
        <v>55</v>
      </c>
      <c r="C2" s="8" t="s">
        <v>56</v>
      </c>
      <c r="D2" s="8" t="s">
        <v>48</v>
      </c>
      <c r="E2" s="8" t="s">
        <v>54</v>
      </c>
      <c r="F2" s="8" t="s">
        <v>57</v>
      </c>
      <c r="G2" s="9" t="s">
        <v>869</v>
      </c>
      <c r="H2" s="10" t="s">
        <v>4</v>
      </c>
    </row>
    <row r="3" spans="1:8" x14ac:dyDescent="0.2">
      <c r="A3" s="2" t="s">
        <v>752</v>
      </c>
      <c r="B3" s="3">
        <v>4687</v>
      </c>
      <c r="C3" s="3">
        <v>5034</v>
      </c>
      <c r="D3" s="3">
        <v>2496</v>
      </c>
      <c r="E3" s="3">
        <v>1721</v>
      </c>
      <c r="F3" s="3">
        <v>17598</v>
      </c>
      <c r="G3" s="11">
        <f>SUM(MemberOfAssemblyAssemblyDistrict132General[[#This Row],[Schuyler County Vote Results]:[Part of Steuben County Vote Results]])</f>
        <v>31536</v>
      </c>
      <c r="H3" s="12">
        <f>SUM(G3:G6)</f>
        <v>38269</v>
      </c>
    </row>
    <row r="4" spans="1:8" x14ac:dyDescent="0.2">
      <c r="A4" s="2" t="s">
        <v>753</v>
      </c>
      <c r="B4" s="3">
        <v>548</v>
      </c>
      <c r="C4" s="3">
        <v>618</v>
      </c>
      <c r="D4" s="3">
        <v>279</v>
      </c>
      <c r="E4" s="3">
        <v>192</v>
      </c>
      <c r="F4" s="3">
        <v>1551</v>
      </c>
      <c r="G4" s="11">
        <f>SUM(MemberOfAssemblyAssemblyDistrict132General[[#This Row],[Schuyler County Vote Results]:[Part of Steuben County Vote Results]])</f>
        <v>3188</v>
      </c>
      <c r="H4" s="13"/>
    </row>
    <row r="5" spans="1:8" x14ac:dyDescent="0.2">
      <c r="A5" s="2" t="s">
        <v>754</v>
      </c>
      <c r="B5" s="3">
        <v>468</v>
      </c>
      <c r="C5" s="3">
        <v>411</v>
      </c>
      <c r="D5" s="3">
        <v>188</v>
      </c>
      <c r="E5" s="3">
        <v>291</v>
      </c>
      <c r="F5" s="3">
        <v>1569</v>
      </c>
      <c r="G5" s="11">
        <f>SUM(MemberOfAssemblyAssemblyDistrict132General[[#This Row],[Schuyler County Vote Results]:[Part of Steuben County Vote Results]])</f>
        <v>2927</v>
      </c>
      <c r="H5" s="13"/>
    </row>
    <row r="6" spans="1:8" x14ac:dyDescent="0.2">
      <c r="A6" s="2" t="s">
        <v>755</v>
      </c>
      <c r="B6" s="3">
        <v>66</v>
      </c>
      <c r="C6" s="3">
        <v>75</v>
      </c>
      <c r="D6" s="3">
        <v>30</v>
      </c>
      <c r="E6" s="3">
        <v>42</v>
      </c>
      <c r="F6" s="3">
        <v>405</v>
      </c>
      <c r="G6" s="11">
        <f>SUM(MemberOfAssemblyAssemblyDistrict132General[[#This Row],[Schuyler County Vote Results]:[Part of Steuben County Vote Results]])</f>
        <v>618</v>
      </c>
      <c r="H6" s="13"/>
    </row>
    <row r="7" spans="1:8" x14ac:dyDescent="0.2">
      <c r="A7" s="4" t="s">
        <v>0</v>
      </c>
      <c r="B7" s="3">
        <v>1723</v>
      </c>
      <c r="C7" s="3">
        <v>2124</v>
      </c>
      <c r="D7" s="3">
        <v>744</v>
      </c>
      <c r="E7" s="3">
        <v>953</v>
      </c>
      <c r="F7" s="3">
        <v>4715</v>
      </c>
      <c r="G7" s="11">
        <f>SUM(MemberOfAssemblyAssemblyDistrict132General[[#This Row],[Schuyler County Vote Results]:[Part of Steuben County Vote Results]])</f>
        <v>10259</v>
      </c>
      <c r="H7" s="13"/>
    </row>
    <row r="8" spans="1:8" x14ac:dyDescent="0.2">
      <c r="A8" s="4" t="s">
        <v>1</v>
      </c>
      <c r="B8" s="3">
        <v>0</v>
      </c>
      <c r="C8" s="3">
        <v>1</v>
      </c>
      <c r="D8" s="3">
        <v>0</v>
      </c>
      <c r="E8" s="3">
        <v>0</v>
      </c>
      <c r="F8" s="3">
        <v>5</v>
      </c>
      <c r="G8" s="11">
        <f>SUM(MemberOfAssemblyAssemblyDistrict132General[[#This Row],[Schuyler County Vote Results]:[Part of Steuben County Vote Results]])</f>
        <v>6</v>
      </c>
      <c r="H8" s="13"/>
    </row>
    <row r="9" spans="1:8" x14ac:dyDescent="0.2">
      <c r="A9" s="4" t="s">
        <v>2</v>
      </c>
      <c r="B9" s="5">
        <v>38</v>
      </c>
      <c r="C9" s="5">
        <v>24</v>
      </c>
      <c r="D9" s="5">
        <v>9</v>
      </c>
      <c r="E9" s="5">
        <v>21</v>
      </c>
      <c r="F9" s="5">
        <v>77</v>
      </c>
      <c r="G9" s="11">
        <f>SUM(MemberOfAssemblyAssemblyDistrict132General[[#This Row],[Schuyler County Vote Results]:[Part of Steuben County Vote Results]])</f>
        <v>169</v>
      </c>
      <c r="H9" s="13"/>
    </row>
    <row r="10" spans="1:8" hidden="1" x14ac:dyDescent="0.2">
      <c r="A10" s="4" t="s">
        <v>3</v>
      </c>
      <c r="B10" s="6">
        <f>SUBTOTAL(109,MemberOfAssemblyAssemblyDistrict132General[Schuyler County Vote Results])</f>
        <v>7530</v>
      </c>
      <c r="C10" s="6"/>
      <c r="D10" s="6"/>
      <c r="E10" s="6"/>
      <c r="F10" s="6">
        <f>SUBTOTAL(109,MemberOfAssemblyAssemblyDistrict132General[Part of Steuben County Vote Results])</f>
        <v>25920</v>
      </c>
    </row>
  </sheetData>
  <pageMargins left="0.5" right="0.5" top="0.25" bottom="0.25" header="0.25" footer="0.25"/>
  <pageSetup paperSize="5" scale="9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43F3-86B5-4ADB-BB58-CF641CC0AC3B}">
  <sheetPr>
    <pageSetUpPr fitToPage="1"/>
  </sheetPr>
  <dimension ref="A1:F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756</v>
      </c>
    </row>
    <row r="2" spans="1:6" ht="25.5" x14ac:dyDescent="0.2">
      <c r="A2" s="7" t="s">
        <v>5</v>
      </c>
      <c r="B2" s="8" t="s">
        <v>58</v>
      </c>
      <c r="C2" s="8" t="s">
        <v>59</v>
      </c>
      <c r="D2" s="8" t="s">
        <v>57</v>
      </c>
      <c r="E2" s="9" t="s">
        <v>869</v>
      </c>
      <c r="F2" s="10" t="s">
        <v>4</v>
      </c>
    </row>
    <row r="3" spans="1:6" x14ac:dyDescent="0.2">
      <c r="A3" s="2" t="s">
        <v>757</v>
      </c>
      <c r="B3" s="3">
        <v>8124</v>
      </c>
      <c r="C3" s="3">
        <v>11875</v>
      </c>
      <c r="D3" s="3">
        <v>2049</v>
      </c>
      <c r="E3" s="11">
        <f>SUM(MemberOfAssemblyAssemblyDistrict133General[[#This Row],[Livingston County Vote Results]:[Part of Steuben County Vote Results]])</f>
        <v>22048</v>
      </c>
      <c r="F3" s="12">
        <f>SUM(MemberOfAssemblyAssemblyDistrict133General[[#This Row],[Total Votes by Party]],E6,E8)</f>
        <v>23340</v>
      </c>
    </row>
    <row r="4" spans="1:6" x14ac:dyDescent="0.2">
      <c r="A4" s="2" t="s">
        <v>758</v>
      </c>
      <c r="B4" s="3">
        <v>12696</v>
      </c>
      <c r="C4" s="3">
        <v>8486</v>
      </c>
      <c r="D4" s="3">
        <v>4414</v>
      </c>
      <c r="E4" s="11">
        <f>SUM(MemberOfAssemblyAssemblyDistrict133General[[#This Row],[Livingston County Vote Results]:[Part of Steuben County Vote Results]])</f>
        <v>25596</v>
      </c>
      <c r="F4" s="12">
        <f>SUM(E4:E5)</f>
        <v>29687</v>
      </c>
    </row>
    <row r="5" spans="1:6" x14ac:dyDescent="0.2">
      <c r="A5" s="2" t="s">
        <v>759</v>
      </c>
      <c r="B5" s="3">
        <v>1995</v>
      </c>
      <c r="C5" s="3">
        <v>1644</v>
      </c>
      <c r="D5" s="3">
        <v>452</v>
      </c>
      <c r="E5" s="11">
        <f>SUM(MemberOfAssemblyAssemblyDistrict133General[[#This Row],[Livingston County Vote Results]:[Part of Steuben County Vote Results]])</f>
        <v>4091</v>
      </c>
      <c r="F5" s="13"/>
    </row>
    <row r="6" spans="1:6" x14ac:dyDescent="0.2">
      <c r="A6" s="2" t="s">
        <v>760</v>
      </c>
      <c r="B6" s="3">
        <v>358</v>
      </c>
      <c r="C6" s="3">
        <v>369</v>
      </c>
      <c r="D6" s="3">
        <v>90</v>
      </c>
      <c r="E6" s="11">
        <f>SUM(MemberOfAssemblyAssemblyDistrict133General[[#This Row],[Livingston County Vote Results]:[Part of Steuben County Vote Results]])</f>
        <v>817</v>
      </c>
      <c r="F6" s="13"/>
    </row>
    <row r="7" spans="1:6" x14ac:dyDescent="0.2">
      <c r="A7" s="2" t="s">
        <v>761</v>
      </c>
      <c r="B7" s="3">
        <v>562</v>
      </c>
      <c r="C7" s="3">
        <v>378</v>
      </c>
      <c r="D7" s="3">
        <v>225</v>
      </c>
      <c r="E7" s="11">
        <f>SUM(MemberOfAssemblyAssemblyDistrict133General[[#This Row],[Livingston County Vote Results]:[Part of Steuben County Vote Results]])</f>
        <v>1165</v>
      </c>
      <c r="F7" s="12">
        <f>SUM(MemberOfAssemblyAssemblyDistrict133General[[#This Row],[Total Votes by Party]],E9)</f>
        <v>1443</v>
      </c>
    </row>
    <row r="8" spans="1:6" x14ac:dyDescent="0.2">
      <c r="A8" s="2" t="s">
        <v>762</v>
      </c>
      <c r="B8" s="3">
        <v>202</v>
      </c>
      <c r="C8" s="3">
        <v>226</v>
      </c>
      <c r="D8" s="3">
        <v>47</v>
      </c>
      <c r="E8" s="11">
        <f>SUM(MemberOfAssemblyAssemblyDistrict133General[[#This Row],[Livingston County Vote Results]:[Part of Steuben County Vote Results]])</f>
        <v>475</v>
      </c>
      <c r="F8" s="13"/>
    </row>
    <row r="9" spans="1:6" x14ac:dyDescent="0.2">
      <c r="A9" s="2" t="s">
        <v>763</v>
      </c>
      <c r="B9" s="3">
        <v>141</v>
      </c>
      <c r="C9" s="3">
        <v>77</v>
      </c>
      <c r="D9" s="3">
        <v>60</v>
      </c>
      <c r="E9" s="11">
        <f>SUM(MemberOfAssemblyAssemblyDistrict133General[[#This Row],[Livingston County Vote Results]:[Part of Steuben County Vote Results]])</f>
        <v>278</v>
      </c>
      <c r="F9" s="13"/>
    </row>
    <row r="10" spans="1:6" x14ac:dyDescent="0.2">
      <c r="A10" s="4" t="s">
        <v>0</v>
      </c>
      <c r="B10" s="3">
        <v>695</v>
      </c>
      <c r="C10" s="3">
        <v>656</v>
      </c>
      <c r="D10" s="3">
        <v>437</v>
      </c>
      <c r="E10" s="11">
        <f>SUM(MemberOfAssemblyAssemblyDistrict133General[[#This Row],[Livingston County Vote Results]:[Part of Steuben County Vote Results]])</f>
        <v>1788</v>
      </c>
      <c r="F10" s="13"/>
    </row>
    <row r="11" spans="1:6" x14ac:dyDescent="0.2">
      <c r="A11" s="4" t="s">
        <v>1</v>
      </c>
      <c r="B11" s="3">
        <v>18</v>
      </c>
      <c r="C11" s="3">
        <v>12</v>
      </c>
      <c r="D11" s="3">
        <v>5</v>
      </c>
      <c r="E11" s="11">
        <f>SUM(MemberOfAssemblyAssemblyDistrict133General[[#This Row],[Livingston County Vote Results]:[Part of Steuben County Vote Results]])</f>
        <v>35</v>
      </c>
      <c r="F11" s="13"/>
    </row>
    <row r="12" spans="1:6" x14ac:dyDescent="0.2">
      <c r="A12" s="4" t="s">
        <v>2</v>
      </c>
      <c r="B12" s="5">
        <v>15</v>
      </c>
      <c r="C12" s="5">
        <v>3</v>
      </c>
      <c r="D12" s="5">
        <v>3</v>
      </c>
      <c r="E12" s="11">
        <f>SUM(MemberOfAssemblyAssemblyDistrict133General[[#This Row],[Livingston County Vote Results]:[Part of Steuben County Vote Results]])</f>
        <v>21</v>
      </c>
      <c r="F12" s="13"/>
    </row>
    <row r="13" spans="1:6" hidden="1" x14ac:dyDescent="0.2">
      <c r="A13" s="4" t="s">
        <v>3</v>
      </c>
      <c r="B13" s="6">
        <f>SUBTOTAL(109,MemberOfAssemblyAssemblyDistrict133General[Livingston County Vote Results])</f>
        <v>24806</v>
      </c>
      <c r="C13" s="6"/>
      <c r="D13" s="6">
        <f>SUBTOTAL(109,MemberOfAssemblyAssemblyDistrict133General[Part of Steuben County Vote Results])</f>
        <v>7782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66C9-B621-4B3E-9318-46A580B4F7CA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764</v>
      </c>
    </row>
    <row r="2" spans="1:4" ht="25.5" x14ac:dyDescent="0.2">
      <c r="A2" s="7" t="s">
        <v>5</v>
      </c>
      <c r="B2" s="8" t="s">
        <v>59</v>
      </c>
      <c r="C2" s="9" t="s">
        <v>869</v>
      </c>
      <c r="D2" s="10" t="s">
        <v>4</v>
      </c>
    </row>
    <row r="3" spans="1:4" x14ac:dyDescent="0.2">
      <c r="A3" s="2" t="s">
        <v>765</v>
      </c>
      <c r="B3" s="3">
        <v>28047</v>
      </c>
      <c r="C3" s="11">
        <f>MemberOfAssemblyAssemblyDistrict134General[[#This Row],[Part of Monroe County Vote Results]]</f>
        <v>28047</v>
      </c>
      <c r="D3" s="12">
        <f>SUM(C3:C6)</f>
        <v>37758</v>
      </c>
    </row>
    <row r="4" spans="1:4" x14ac:dyDescent="0.2">
      <c r="A4" s="2" t="s">
        <v>766</v>
      </c>
      <c r="B4" s="3">
        <v>5705</v>
      </c>
      <c r="C4" s="11">
        <f>MemberOfAssemblyAssemblyDistrict134General[[#This Row],[Part of Monroe County Vote Results]]</f>
        <v>5705</v>
      </c>
      <c r="D4" s="13"/>
    </row>
    <row r="5" spans="1:4" x14ac:dyDescent="0.2">
      <c r="A5" s="2" t="s">
        <v>767</v>
      </c>
      <c r="B5" s="3">
        <v>3492</v>
      </c>
      <c r="C5" s="11">
        <f>MemberOfAssemblyAssemblyDistrict134General[[#This Row],[Part of Monroe County Vote Results]]</f>
        <v>3492</v>
      </c>
      <c r="D5" s="13"/>
    </row>
    <row r="6" spans="1:4" x14ac:dyDescent="0.2">
      <c r="A6" s="2" t="s">
        <v>768</v>
      </c>
      <c r="B6" s="3">
        <v>514</v>
      </c>
      <c r="C6" s="11">
        <f>MemberOfAssemblyAssemblyDistrict134General[[#This Row],[Part of Monroe County Vote Results]]</f>
        <v>514</v>
      </c>
      <c r="D6" s="13"/>
    </row>
    <row r="7" spans="1:4" x14ac:dyDescent="0.2">
      <c r="A7" s="4" t="s">
        <v>0</v>
      </c>
      <c r="B7" s="5">
        <v>15355</v>
      </c>
      <c r="C7" s="11">
        <f>MemberOfAssemblyAssemblyDistrict134General[[#This Row],[Part of Monroe County Vote Results]]</f>
        <v>15355</v>
      </c>
      <c r="D7" s="13"/>
    </row>
    <row r="8" spans="1:4" x14ac:dyDescent="0.2">
      <c r="A8" s="4" t="s">
        <v>1</v>
      </c>
      <c r="B8" s="5">
        <v>4</v>
      </c>
      <c r="C8" s="11">
        <f>MemberOfAssemblyAssemblyDistrict134General[[#This Row],[Part of Monroe County Vote Results]]</f>
        <v>4</v>
      </c>
      <c r="D8" s="13"/>
    </row>
    <row r="9" spans="1:4" x14ac:dyDescent="0.2">
      <c r="A9" s="4" t="s">
        <v>2</v>
      </c>
      <c r="B9" s="5">
        <v>263</v>
      </c>
      <c r="C9" s="11">
        <f>MemberOfAssemblyAssemblyDistrict134General[[#This Row],[Part of Monroe County Vote Results]]</f>
        <v>263</v>
      </c>
      <c r="D9" s="13"/>
    </row>
    <row r="10" spans="1:4" hidden="1" x14ac:dyDescent="0.2">
      <c r="A10" s="4" t="s">
        <v>3</v>
      </c>
      <c r="B10" s="6">
        <f>SUBTOTAL(109,MemberOfAssemblyAssemblyDistrict134General[Total Votes by Candidate])</f>
        <v>37758</v>
      </c>
      <c r="C10" s="11">
        <f>SUM(MemberOfAssemblyAssemblyDistrict133General[[#This Row],[Livingston County Vote Results]:[Part of Steuben County Vote Results]])</f>
        <v>1788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A3E5-EEC7-4E61-8806-C319360D1B8F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769</v>
      </c>
    </row>
    <row r="2" spans="1:4" ht="25.5" x14ac:dyDescent="0.2">
      <c r="A2" s="7" t="s">
        <v>5</v>
      </c>
      <c r="B2" s="8" t="s">
        <v>59</v>
      </c>
      <c r="C2" s="9" t="s">
        <v>869</v>
      </c>
      <c r="D2" s="10" t="s">
        <v>4</v>
      </c>
    </row>
    <row r="3" spans="1:4" x14ac:dyDescent="0.2">
      <c r="A3" s="2" t="s">
        <v>770</v>
      </c>
      <c r="B3" s="3">
        <v>29198</v>
      </c>
      <c r="C3" s="11">
        <f>MemberOfAssemblyAssemblyDistrict135General[[#This Row],[Part of Monroe County Vote Results]]</f>
        <v>29198</v>
      </c>
      <c r="D3" s="12">
        <f>SUM(MemberOfAssemblyAssemblyDistrict135General[[#This Row],[Total Votes by Party]],C6,C8)</f>
        <v>30639</v>
      </c>
    </row>
    <row r="4" spans="1:4" x14ac:dyDescent="0.2">
      <c r="A4" s="2" t="s">
        <v>771</v>
      </c>
      <c r="B4" s="3">
        <v>27293</v>
      </c>
      <c r="C4" s="11">
        <f>MemberOfAssemblyAssemblyDistrict135General[[#This Row],[Part of Monroe County Vote Results]]</f>
        <v>27293</v>
      </c>
      <c r="D4" s="12">
        <f>SUM(C4:C5,C7,C9)</f>
        <v>33542</v>
      </c>
    </row>
    <row r="5" spans="1:4" x14ac:dyDescent="0.2">
      <c r="A5" s="2" t="s">
        <v>772</v>
      </c>
      <c r="B5" s="3">
        <v>4811</v>
      </c>
      <c r="C5" s="11">
        <f>MemberOfAssemblyAssemblyDistrict135General[[#This Row],[Part of Monroe County Vote Results]]</f>
        <v>4811</v>
      </c>
      <c r="D5" s="13"/>
    </row>
    <row r="6" spans="1:4" x14ac:dyDescent="0.2">
      <c r="A6" s="2" t="s">
        <v>773</v>
      </c>
      <c r="B6" s="3">
        <v>869</v>
      </c>
      <c r="C6" s="11">
        <f>MemberOfAssemblyAssemblyDistrict135General[[#This Row],[Part of Monroe County Vote Results]]</f>
        <v>869</v>
      </c>
      <c r="D6" s="13"/>
    </row>
    <row r="7" spans="1:4" x14ac:dyDescent="0.2">
      <c r="A7" s="2" t="s">
        <v>774</v>
      </c>
      <c r="B7" s="3">
        <v>1182</v>
      </c>
      <c r="C7" s="11">
        <f>MemberOfAssemblyAssemblyDistrict135General[[#This Row],[Part of Monroe County Vote Results]]</f>
        <v>1182</v>
      </c>
      <c r="D7" s="13"/>
    </row>
    <row r="8" spans="1:4" x14ac:dyDescent="0.2">
      <c r="A8" s="2" t="s">
        <v>775</v>
      </c>
      <c r="B8" s="3">
        <v>572</v>
      </c>
      <c r="C8" s="11">
        <f>MemberOfAssemblyAssemblyDistrict135General[[#This Row],[Part of Monroe County Vote Results]]</f>
        <v>572</v>
      </c>
      <c r="D8" s="13"/>
    </row>
    <row r="9" spans="1:4" x14ac:dyDescent="0.2">
      <c r="A9" s="2" t="s">
        <v>776</v>
      </c>
      <c r="B9" s="3">
        <v>256</v>
      </c>
      <c r="C9" s="11">
        <f>MemberOfAssemblyAssemblyDistrict135General[[#This Row],[Part of Monroe County Vote Results]]</f>
        <v>256</v>
      </c>
      <c r="D9" s="13"/>
    </row>
    <row r="10" spans="1:4" x14ac:dyDescent="0.2">
      <c r="A10" s="4" t="s">
        <v>0</v>
      </c>
      <c r="B10" s="5">
        <v>2187</v>
      </c>
      <c r="C10" s="11">
        <f>MemberOfAssemblyAssemblyDistrict135General[[#This Row],[Part of Monroe County Vote Results]]</f>
        <v>2187</v>
      </c>
      <c r="D10" s="13"/>
    </row>
    <row r="11" spans="1:4" x14ac:dyDescent="0.2">
      <c r="A11" s="4" t="s">
        <v>1</v>
      </c>
      <c r="B11" s="5">
        <v>11</v>
      </c>
      <c r="C11" s="11">
        <f>MemberOfAssemblyAssemblyDistrict135General[[#This Row],[Part of Monroe County Vote Results]]</f>
        <v>11</v>
      </c>
      <c r="D11" s="13"/>
    </row>
    <row r="12" spans="1:4" x14ac:dyDescent="0.2">
      <c r="A12" s="4" t="s">
        <v>2</v>
      </c>
      <c r="B12" s="5">
        <v>17</v>
      </c>
      <c r="C12" s="11">
        <f>MemberOfAssemblyAssemblyDistrict135General[[#This Row],[Part of Monroe County Vote Results]]</f>
        <v>17</v>
      </c>
      <c r="D12" s="13"/>
    </row>
    <row r="13" spans="1:4" hidden="1" x14ac:dyDescent="0.2">
      <c r="A13" s="4" t="s">
        <v>3</v>
      </c>
      <c r="B13" s="6">
        <f>SUBTOTAL(109,MemberOfAssemblyAssemblyDistrict135General[Total Votes by Candidate])</f>
        <v>64181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4B12-89AC-411A-8919-A0C0BD530E47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777</v>
      </c>
    </row>
    <row r="2" spans="1:4" ht="25.5" x14ac:dyDescent="0.2">
      <c r="A2" s="7" t="s">
        <v>5</v>
      </c>
      <c r="B2" s="8" t="s">
        <v>59</v>
      </c>
      <c r="C2" s="9" t="s">
        <v>869</v>
      </c>
      <c r="D2" s="10" t="s">
        <v>4</v>
      </c>
    </row>
    <row r="3" spans="1:4" x14ac:dyDescent="0.2">
      <c r="A3" s="2" t="s">
        <v>778</v>
      </c>
      <c r="B3" s="3">
        <v>34276</v>
      </c>
      <c r="C3" s="11">
        <f>MemberOfAssemblyAssemblyDistrict136General[[#This Row],[Part of Monroe County Vote Results]]</f>
        <v>34276</v>
      </c>
      <c r="D3" s="12">
        <f>SUM(C3:C6)</f>
        <v>38737</v>
      </c>
    </row>
    <row r="4" spans="1:4" x14ac:dyDescent="0.2">
      <c r="A4" s="2" t="s">
        <v>779</v>
      </c>
      <c r="B4" s="3">
        <v>1673</v>
      </c>
      <c r="C4" s="11">
        <f>MemberOfAssemblyAssemblyDistrict136General[[#This Row],[Part of Monroe County Vote Results]]</f>
        <v>1673</v>
      </c>
      <c r="D4" s="13"/>
    </row>
    <row r="5" spans="1:4" x14ac:dyDescent="0.2">
      <c r="A5" s="2" t="s">
        <v>780</v>
      </c>
      <c r="B5" s="3">
        <v>2022</v>
      </c>
      <c r="C5" s="11">
        <f>MemberOfAssemblyAssemblyDistrict136General[[#This Row],[Part of Monroe County Vote Results]]</f>
        <v>2022</v>
      </c>
      <c r="D5" s="13"/>
    </row>
    <row r="6" spans="1:4" x14ac:dyDescent="0.2">
      <c r="A6" s="2" t="s">
        <v>781</v>
      </c>
      <c r="B6" s="3">
        <v>766</v>
      </c>
      <c r="C6" s="11">
        <f>MemberOfAssemblyAssemblyDistrict136General[[#This Row],[Part of Monroe County Vote Results]]</f>
        <v>766</v>
      </c>
      <c r="D6" s="13"/>
    </row>
    <row r="7" spans="1:4" x14ac:dyDescent="0.2">
      <c r="A7" s="4" t="s">
        <v>0</v>
      </c>
      <c r="B7" s="5">
        <v>13967</v>
      </c>
      <c r="C7" s="11">
        <f>MemberOfAssemblyAssemblyDistrict136General[[#This Row],[Part of Monroe County Vote Results]]</f>
        <v>13967</v>
      </c>
      <c r="D7" s="13"/>
    </row>
    <row r="8" spans="1:4" x14ac:dyDescent="0.2">
      <c r="A8" s="4" t="s">
        <v>1</v>
      </c>
      <c r="B8" s="5">
        <v>4</v>
      </c>
      <c r="C8" s="11">
        <f>MemberOfAssemblyAssemblyDistrict136General[[#This Row],[Part of Monroe County Vote Results]]</f>
        <v>4</v>
      </c>
      <c r="D8" s="13"/>
    </row>
    <row r="9" spans="1:4" x14ac:dyDescent="0.2">
      <c r="A9" s="4" t="s">
        <v>2</v>
      </c>
      <c r="B9" s="5">
        <v>258</v>
      </c>
      <c r="C9" s="11">
        <f>MemberOfAssemblyAssemblyDistrict136General[[#This Row],[Part of Monroe County Vote Results]]</f>
        <v>258</v>
      </c>
      <c r="D9" s="13"/>
    </row>
    <row r="10" spans="1:4" hidden="1" x14ac:dyDescent="0.2">
      <c r="A10" s="4" t="s">
        <v>3</v>
      </c>
      <c r="B10" s="6">
        <f>SUBTOTAL(109,MemberOfAssemblyAssemblyDistrict136General[Total Votes by Candidate])</f>
        <v>38737</v>
      </c>
      <c r="C10" s="11">
        <f>MemberOfAssemblyAssemblyDistrict135General[[#This Row],[Part of Monroe County Vote Results]]</f>
        <v>2187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A06F-FECF-4A45-AB35-E1CAC6E83943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782</v>
      </c>
    </row>
    <row r="2" spans="1:4" ht="25.5" x14ac:dyDescent="0.2">
      <c r="A2" s="7" t="s">
        <v>5</v>
      </c>
      <c r="B2" s="8" t="s">
        <v>59</v>
      </c>
      <c r="C2" s="9" t="s">
        <v>869</v>
      </c>
      <c r="D2" s="10" t="s">
        <v>4</v>
      </c>
    </row>
    <row r="3" spans="1:4" x14ac:dyDescent="0.2">
      <c r="A3" s="2" t="s">
        <v>783</v>
      </c>
      <c r="B3" s="3">
        <v>22825</v>
      </c>
      <c r="C3" s="11">
        <f>MemberOfAssemblyAssemblyDistrict137General[[#This Row],[Part of Monroe County Vote Results]]</f>
        <v>22825</v>
      </c>
      <c r="D3" s="12">
        <f>MemberOfAssemblyAssemblyDistrict137General[[#This Row],[Total Votes by Party]]</f>
        <v>22825</v>
      </c>
    </row>
    <row r="4" spans="1:4" x14ac:dyDescent="0.2">
      <c r="A4" s="4" t="s">
        <v>0</v>
      </c>
      <c r="B4" s="5">
        <v>9024</v>
      </c>
      <c r="C4" s="11">
        <f>MemberOfAssemblyAssemblyDistrict137General[[#This Row],[Part of Monroe County Vote Results]]</f>
        <v>9024</v>
      </c>
      <c r="D4" s="13"/>
    </row>
    <row r="5" spans="1:4" x14ac:dyDescent="0.2">
      <c r="A5" s="4" t="s">
        <v>1</v>
      </c>
      <c r="B5" s="5">
        <v>4</v>
      </c>
      <c r="C5" s="11">
        <f>MemberOfAssemblyAssemblyDistrict137General[[#This Row],[Part of Monroe County Vote Results]]</f>
        <v>4</v>
      </c>
      <c r="D5" s="13"/>
    </row>
    <row r="6" spans="1:4" x14ac:dyDescent="0.2">
      <c r="A6" s="4" t="s">
        <v>2</v>
      </c>
      <c r="B6" s="5">
        <v>700</v>
      </c>
      <c r="C6" s="11">
        <f>MemberOfAssemblyAssemblyDistrict137General[[#This Row],[Part of Monroe County Vote Results]]</f>
        <v>700</v>
      </c>
      <c r="D6" s="13"/>
    </row>
    <row r="7" spans="1:4" hidden="1" x14ac:dyDescent="0.2">
      <c r="A7" s="4" t="s">
        <v>3</v>
      </c>
      <c r="B7" s="6">
        <f>SUBTOTAL(109,MemberOfAssemblyAssemblyDistrict137General[Total Votes by Candidate])</f>
        <v>22825</v>
      </c>
      <c r="C7" s="11">
        <f>MemberOfAssemblyAssemblyDistrict136General[[#This Row],[Part of Monroe County Vote Results]]</f>
        <v>13967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06BB-FFF3-4E6C-B0BB-6C4A014B59F1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784</v>
      </c>
    </row>
    <row r="2" spans="1:4" ht="25.5" x14ac:dyDescent="0.2">
      <c r="A2" s="7" t="s">
        <v>5</v>
      </c>
      <c r="B2" s="8" t="s">
        <v>59</v>
      </c>
      <c r="C2" s="9" t="s">
        <v>869</v>
      </c>
      <c r="D2" s="10" t="s">
        <v>4</v>
      </c>
    </row>
    <row r="3" spans="1:4" x14ac:dyDescent="0.2">
      <c r="A3" s="2" t="s">
        <v>785</v>
      </c>
      <c r="B3" s="3">
        <v>26417</v>
      </c>
      <c r="C3" s="11">
        <f>MemberOfAssemblyAssemblyDistrict138General[[#This Row],[Part of Monroe County Vote Results]]</f>
        <v>26417</v>
      </c>
      <c r="D3" s="12">
        <f>SUM(MemberOfAssemblyAssemblyDistrict138General[[#This Row],[Total Votes by Party]],C6:C8)</f>
        <v>29012</v>
      </c>
    </row>
    <row r="4" spans="1:4" x14ac:dyDescent="0.2">
      <c r="A4" s="2" t="s">
        <v>786</v>
      </c>
      <c r="B4" s="3">
        <v>11740</v>
      </c>
      <c r="C4" s="11">
        <f>MemberOfAssemblyAssemblyDistrict138General[[#This Row],[Part of Monroe County Vote Results]]</f>
        <v>11740</v>
      </c>
      <c r="D4" s="12">
        <f>SUM(C4:C5,C9)</f>
        <v>14597</v>
      </c>
    </row>
    <row r="5" spans="1:4" x14ac:dyDescent="0.2">
      <c r="A5" s="2" t="s">
        <v>787</v>
      </c>
      <c r="B5" s="3">
        <v>2587</v>
      </c>
      <c r="C5" s="11">
        <f>MemberOfAssemblyAssemblyDistrict138General[[#This Row],[Part of Monroe County Vote Results]]</f>
        <v>2587</v>
      </c>
      <c r="D5" s="13"/>
    </row>
    <row r="6" spans="1:4" x14ac:dyDescent="0.2">
      <c r="A6" s="2" t="s">
        <v>788</v>
      </c>
      <c r="B6" s="3">
        <v>1201</v>
      </c>
      <c r="C6" s="11">
        <f>MemberOfAssemblyAssemblyDistrict138General[[#This Row],[Part of Monroe County Vote Results]]</f>
        <v>1201</v>
      </c>
      <c r="D6" s="13"/>
    </row>
    <row r="7" spans="1:4" x14ac:dyDescent="0.2">
      <c r="A7" s="2" t="s">
        <v>789</v>
      </c>
      <c r="B7" s="3">
        <v>886</v>
      </c>
      <c r="C7" s="11">
        <f>MemberOfAssemblyAssemblyDistrict138General[[#This Row],[Part of Monroe County Vote Results]]</f>
        <v>886</v>
      </c>
      <c r="D7" s="13"/>
    </row>
    <row r="8" spans="1:4" x14ac:dyDescent="0.2">
      <c r="A8" s="2" t="s">
        <v>790</v>
      </c>
      <c r="B8" s="3">
        <v>508</v>
      </c>
      <c r="C8" s="11">
        <f>MemberOfAssemblyAssemblyDistrict138General[[#This Row],[Part of Monroe County Vote Results]]</f>
        <v>508</v>
      </c>
      <c r="D8" s="13"/>
    </row>
    <row r="9" spans="1:4" x14ac:dyDescent="0.2">
      <c r="A9" s="2" t="s">
        <v>791</v>
      </c>
      <c r="B9" s="3">
        <v>270</v>
      </c>
      <c r="C9" s="11">
        <f>MemberOfAssemblyAssemblyDistrict138General[[#This Row],[Part of Monroe County Vote Results]]</f>
        <v>270</v>
      </c>
      <c r="D9" s="13"/>
    </row>
    <row r="10" spans="1:4" x14ac:dyDescent="0.2">
      <c r="A10" s="4" t="s">
        <v>0</v>
      </c>
      <c r="B10" s="5">
        <v>1835</v>
      </c>
      <c r="C10" s="11">
        <f>MemberOfAssemblyAssemblyDistrict138General[[#This Row],[Part of Monroe County Vote Results]]</f>
        <v>1835</v>
      </c>
      <c r="D10" s="13"/>
    </row>
    <row r="11" spans="1:4" x14ac:dyDescent="0.2">
      <c r="A11" s="4" t="s">
        <v>1</v>
      </c>
      <c r="B11" s="5">
        <v>12</v>
      </c>
      <c r="C11" s="11">
        <f>MemberOfAssemblyAssemblyDistrict138General[[#This Row],[Part of Monroe County Vote Results]]</f>
        <v>12</v>
      </c>
      <c r="D11" s="13"/>
    </row>
    <row r="12" spans="1:4" x14ac:dyDescent="0.2">
      <c r="A12" s="4" t="s">
        <v>2</v>
      </c>
      <c r="B12" s="5">
        <v>31</v>
      </c>
      <c r="C12" s="11">
        <f>MemberOfAssemblyAssemblyDistrict138General[[#This Row],[Part of Monroe County Vote Results]]</f>
        <v>31</v>
      </c>
      <c r="D12" s="13"/>
    </row>
    <row r="13" spans="1:4" hidden="1" x14ac:dyDescent="0.2">
      <c r="A13" s="4" t="s">
        <v>3</v>
      </c>
      <c r="B13" s="6">
        <f>SUBTOTAL(109,MemberOfAssemblyAssemblyDistrict138General[Total Votes by Candidate])</f>
        <v>43609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6A7A-9C29-478C-9AC0-6D3053F1286A}">
  <sheetPr>
    <pageSetUpPr fitToPage="1"/>
  </sheetPr>
  <dimension ref="A1:F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792</v>
      </c>
    </row>
    <row r="2" spans="1:6" ht="25.5" x14ac:dyDescent="0.2">
      <c r="A2" s="7" t="s">
        <v>5</v>
      </c>
      <c r="B2" s="8" t="s">
        <v>60</v>
      </c>
      <c r="C2" s="8" t="s">
        <v>59</v>
      </c>
      <c r="D2" s="8" t="s">
        <v>61</v>
      </c>
      <c r="E2" s="9" t="s">
        <v>869</v>
      </c>
      <c r="F2" s="10" t="s">
        <v>4</v>
      </c>
    </row>
    <row r="3" spans="1:6" x14ac:dyDescent="0.2">
      <c r="A3" s="2" t="s">
        <v>793</v>
      </c>
      <c r="B3" s="3">
        <v>14254</v>
      </c>
      <c r="C3" s="3">
        <v>7109</v>
      </c>
      <c r="D3" s="3">
        <v>7616</v>
      </c>
      <c r="E3" s="11">
        <f>SUM(MemberOfAssemblyAssemblyDistrict139General[[#This Row],[Genesee County Vote Results]:[Part of Orleans County Vote Results]])</f>
        <v>28979</v>
      </c>
      <c r="F3" s="12">
        <f>SUM(E3:E6)</f>
        <v>36150</v>
      </c>
    </row>
    <row r="4" spans="1:6" x14ac:dyDescent="0.2">
      <c r="A4" s="2" t="s">
        <v>794</v>
      </c>
      <c r="B4" s="3">
        <v>2213</v>
      </c>
      <c r="C4" s="3">
        <v>1525</v>
      </c>
      <c r="D4" s="3">
        <v>1162</v>
      </c>
      <c r="E4" s="11">
        <f>SUM(MemberOfAssemblyAssemblyDistrict139General[[#This Row],[Genesee County Vote Results]:[Part of Orleans County Vote Results]])</f>
        <v>4900</v>
      </c>
      <c r="F4" s="13"/>
    </row>
    <row r="5" spans="1:6" x14ac:dyDescent="0.2">
      <c r="A5" s="2" t="s">
        <v>795</v>
      </c>
      <c r="B5" s="3">
        <v>862</v>
      </c>
      <c r="C5" s="3">
        <v>673</v>
      </c>
      <c r="D5" s="3">
        <v>395</v>
      </c>
      <c r="E5" s="11">
        <f>SUM(MemberOfAssemblyAssemblyDistrict139General[[#This Row],[Genesee County Vote Results]:[Part of Orleans County Vote Results]])</f>
        <v>1930</v>
      </c>
      <c r="F5" s="13"/>
    </row>
    <row r="6" spans="1:6" x14ac:dyDescent="0.2">
      <c r="A6" s="2" t="s">
        <v>796</v>
      </c>
      <c r="B6" s="3">
        <v>168</v>
      </c>
      <c r="C6" s="3">
        <v>89</v>
      </c>
      <c r="D6" s="3">
        <v>84</v>
      </c>
      <c r="E6" s="11">
        <f>SUM(MemberOfAssemblyAssemblyDistrict139General[[#This Row],[Genesee County Vote Results]:[Part of Orleans County Vote Results]])</f>
        <v>341</v>
      </c>
      <c r="F6" s="13"/>
    </row>
    <row r="7" spans="1:6" x14ac:dyDescent="0.2">
      <c r="A7" s="2" t="s">
        <v>797</v>
      </c>
      <c r="B7" s="3">
        <v>1295</v>
      </c>
      <c r="C7" s="3">
        <v>1271</v>
      </c>
      <c r="D7" s="3">
        <v>725</v>
      </c>
      <c r="E7" s="11">
        <f>SUM(MemberOfAssemblyAssemblyDistrict139General[[#This Row],[Genesee County Vote Results]:[Part of Orleans County Vote Results]])</f>
        <v>3291</v>
      </c>
      <c r="F7" s="12">
        <f>MemberOfAssemblyAssemblyDistrict139General[[#This Row],[Total Votes by Party]]</f>
        <v>3291</v>
      </c>
    </row>
    <row r="8" spans="1:6" x14ac:dyDescent="0.2">
      <c r="A8" s="4" t="s">
        <v>0</v>
      </c>
      <c r="B8" s="3">
        <v>2720</v>
      </c>
      <c r="C8" s="3">
        <v>2446</v>
      </c>
      <c r="D8" s="3">
        <v>1633</v>
      </c>
      <c r="E8" s="11">
        <f>SUM(MemberOfAssemblyAssemblyDistrict139General[[#This Row],[Genesee County Vote Results]:[Part of Orleans County Vote Results]])</f>
        <v>6799</v>
      </c>
      <c r="F8" s="13"/>
    </row>
    <row r="9" spans="1:6" x14ac:dyDescent="0.2">
      <c r="A9" s="4" t="s">
        <v>1</v>
      </c>
      <c r="B9" s="3">
        <v>7</v>
      </c>
      <c r="C9" s="3">
        <v>4</v>
      </c>
      <c r="D9" s="3">
        <v>6</v>
      </c>
      <c r="E9" s="11">
        <f>SUM(MemberOfAssemblyAssemblyDistrict139General[[#This Row],[Genesee County Vote Results]:[Part of Orleans County Vote Results]])</f>
        <v>17</v>
      </c>
      <c r="F9" s="13"/>
    </row>
    <row r="10" spans="1:6" x14ac:dyDescent="0.2">
      <c r="A10" s="4" t="s">
        <v>2</v>
      </c>
      <c r="B10" s="5">
        <v>38</v>
      </c>
      <c r="C10" s="5">
        <v>25</v>
      </c>
      <c r="D10" s="5">
        <v>10</v>
      </c>
      <c r="E10" s="11">
        <f>SUM(MemberOfAssemblyAssemblyDistrict139General[[#This Row],[Genesee County Vote Results]:[Part of Orleans County Vote Results]])</f>
        <v>73</v>
      </c>
      <c r="F10" s="13"/>
    </row>
    <row r="11" spans="1:6" hidden="1" x14ac:dyDescent="0.2">
      <c r="A11" s="4" t="s">
        <v>3</v>
      </c>
      <c r="B11" s="6">
        <f>SUBTOTAL(109,MemberOfAssemblyAssemblyDistrict139General[Genesee County Vote Results])</f>
        <v>21557</v>
      </c>
      <c r="C11" s="6"/>
      <c r="D11" s="6">
        <f>SUBTOTAL(109,MemberOfAssemblyAssemblyDistrict139General[Part of Orleans County Vote Results])</f>
        <v>11631</v>
      </c>
      <c r="E11" s="11">
        <f>MemberOfAssemblyAssemblyDistrict138General[[#This Row],[Part of Monroe County Vote Results]]</f>
        <v>12</v>
      </c>
      <c r="F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C36A-FFBB-440C-A79F-FF7F19C6DB62}">
  <sheetPr>
    <pageSetUpPr fitToPage="1"/>
  </sheetPr>
  <dimension ref="A1:D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154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155</v>
      </c>
      <c r="B3" s="3">
        <v>23210</v>
      </c>
      <c r="C3" s="11">
        <f>MemberOfAssemblyAssemblyDistrict14General[[#This Row],[Part of Nassau County Vote Results]]</f>
        <v>23210</v>
      </c>
      <c r="D3" s="12">
        <f>SUM(MemberOfAssemblyAssemblyDistrict14General[[#This Row],[Total Votes by Party]],C6,C8)</f>
        <v>24067</v>
      </c>
    </row>
    <row r="4" spans="1:4" x14ac:dyDescent="0.2">
      <c r="A4" s="2" t="s">
        <v>156</v>
      </c>
      <c r="B4" s="3">
        <v>27287</v>
      </c>
      <c r="C4" s="11">
        <f>MemberOfAssemblyAssemblyDistrict14General[[#This Row],[Part of Nassau County Vote Results]]</f>
        <v>27287</v>
      </c>
      <c r="D4" s="12">
        <f>SUM(C4:C5,C7,C9:C10)</f>
        <v>30673</v>
      </c>
    </row>
    <row r="5" spans="1:4" x14ac:dyDescent="0.2">
      <c r="A5" s="2" t="s">
        <v>157</v>
      </c>
      <c r="B5" s="3">
        <v>2722</v>
      </c>
      <c r="C5" s="11">
        <f>MemberOfAssemblyAssemblyDistrict14General[[#This Row],[Part of Nassau County Vote Results]]</f>
        <v>2722</v>
      </c>
      <c r="D5" s="13"/>
    </row>
    <row r="6" spans="1:4" x14ac:dyDescent="0.2">
      <c r="A6" s="2" t="s">
        <v>158</v>
      </c>
      <c r="B6" s="3">
        <v>531</v>
      </c>
      <c r="C6" s="11">
        <f>MemberOfAssemblyAssemblyDistrict14General[[#This Row],[Part of Nassau County Vote Results]]</f>
        <v>531</v>
      </c>
      <c r="D6" s="13"/>
    </row>
    <row r="7" spans="1:4" x14ac:dyDescent="0.2">
      <c r="A7" s="2" t="s">
        <v>159</v>
      </c>
      <c r="B7" s="3">
        <v>452</v>
      </c>
      <c r="C7" s="11">
        <f>MemberOfAssemblyAssemblyDistrict14General[[#This Row],[Part of Nassau County Vote Results]]</f>
        <v>452</v>
      </c>
      <c r="D7" s="13"/>
    </row>
    <row r="8" spans="1:4" x14ac:dyDescent="0.2">
      <c r="A8" s="2" t="s">
        <v>160</v>
      </c>
      <c r="B8" s="3">
        <v>326</v>
      </c>
      <c r="C8" s="11">
        <f>MemberOfAssemblyAssemblyDistrict14General[[#This Row],[Part of Nassau County Vote Results]]</f>
        <v>326</v>
      </c>
      <c r="D8" s="13"/>
    </row>
    <row r="9" spans="1:4" x14ac:dyDescent="0.2">
      <c r="A9" s="2" t="s">
        <v>161</v>
      </c>
      <c r="B9" s="3">
        <v>76</v>
      </c>
      <c r="C9" s="11">
        <f>MemberOfAssemblyAssemblyDistrict14General[[#This Row],[Part of Nassau County Vote Results]]</f>
        <v>76</v>
      </c>
      <c r="D9" s="13"/>
    </row>
    <row r="10" spans="1:4" x14ac:dyDescent="0.2">
      <c r="A10" s="2" t="s">
        <v>162</v>
      </c>
      <c r="B10" s="3">
        <v>136</v>
      </c>
      <c r="C10" s="11">
        <f>MemberOfAssemblyAssemblyDistrict14General[[#This Row],[Part of Nassau County Vote Results]]</f>
        <v>136</v>
      </c>
      <c r="D10" s="13"/>
    </row>
    <row r="11" spans="1:4" x14ac:dyDescent="0.2">
      <c r="A11" s="4" t="s">
        <v>0</v>
      </c>
      <c r="B11" s="5">
        <v>1539</v>
      </c>
      <c r="C11" s="11">
        <f>MemberOfAssemblyAssemblyDistrict14General[[#This Row],[Part of Nassau County Vote Results]]</f>
        <v>1539</v>
      </c>
      <c r="D11" s="13"/>
    </row>
    <row r="12" spans="1:4" x14ac:dyDescent="0.2">
      <c r="A12" s="4" t="s">
        <v>1</v>
      </c>
      <c r="B12" s="5">
        <v>24</v>
      </c>
      <c r="C12" s="11">
        <f>MemberOfAssemblyAssemblyDistrict14General[[#This Row],[Part of Nassau County Vote Results]]</f>
        <v>24</v>
      </c>
      <c r="D12" s="13"/>
    </row>
    <row r="13" spans="1:4" x14ac:dyDescent="0.2">
      <c r="A13" s="4" t="s">
        <v>2</v>
      </c>
      <c r="B13" s="5">
        <v>25</v>
      </c>
      <c r="C13" s="11">
        <f>MemberOfAssemblyAssemblyDistrict14General[[#This Row],[Part of Nassau County Vote Results]]</f>
        <v>25</v>
      </c>
      <c r="D13" s="13"/>
    </row>
    <row r="14" spans="1:4" hidden="1" x14ac:dyDescent="0.2">
      <c r="A14" s="4" t="s">
        <v>3</v>
      </c>
      <c r="B14" s="6">
        <f>SUBTOTAL(109,MemberOfAssemblyAssemblyDistrict14General[Total Votes by Candidate])</f>
        <v>54740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0ADB-7079-4D65-888D-2E2BB8D7BD23}">
  <sheetPr>
    <pageSetUpPr fitToPage="1"/>
  </sheetPr>
  <dimension ref="A1:E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798</v>
      </c>
    </row>
    <row r="2" spans="1:5" ht="25.5" x14ac:dyDescent="0.2">
      <c r="A2" s="7" t="s">
        <v>5</v>
      </c>
      <c r="B2" s="8" t="s">
        <v>62</v>
      </c>
      <c r="C2" s="8" t="s">
        <v>63</v>
      </c>
      <c r="D2" s="9" t="s">
        <v>869</v>
      </c>
      <c r="E2" s="10" t="s">
        <v>4</v>
      </c>
    </row>
    <row r="3" spans="1:5" x14ac:dyDescent="0.2">
      <c r="A3" s="2" t="s">
        <v>799</v>
      </c>
      <c r="B3" s="3">
        <v>22963</v>
      </c>
      <c r="C3" s="3">
        <v>3334</v>
      </c>
      <c r="D3" s="11">
        <f>SUM(MemberOfAssemblyAssemblyDistrict140General[[#This Row],[Part of Erie County Vote Results]:[Part of Niagara County Vote Results]])</f>
        <v>26297</v>
      </c>
      <c r="E3" s="12">
        <f>SUM(MemberOfAssemblyAssemblyDistrict140General[[#This Row],[Total Votes by Party]],D5,D7)</f>
        <v>31573</v>
      </c>
    </row>
    <row r="4" spans="1:5" x14ac:dyDescent="0.2">
      <c r="A4" s="2" t="s">
        <v>800</v>
      </c>
      <c r="B4" s="3">
        <v>9307</v>
      </c>
      <c r="C4" s="3">
        <v>2308</v>
      </c>
      <c r="D4" s="11">
        <f>SUM(MemberOfAssemblyAssemblyDistrict140General[[#This Row],[Part of Erie County Vote Results]:[Part of Niagara County Vote Results]])</f>
        <v>11615</v>
      </c>
      <c r="E4" s="12">
        <f>MemberOfAssemblyAssemblyDistrict140General[[#This Row],[Total Votes by Party]]</f>
        <v>11615</v>
      </c>
    </row>
    <row r="5" spans="1:5" x14ac:dyDescent="0.2">
      <c r="A5" s="2" t="s">
        <v>802</v>
      </c>
      <c r="B5" s="3">
        <v>3139</v>
      </c>
      <c r="C5" s="3">
        <v>610</v>
      </c>
      <c r="D5" s="11">
        <f>SUM(MemberOfAssemblyAssemblyDistrict140General[[#This Row],[Part of Erie County Vote Results]:[Part of Niagara County Vote Results]])</f>
        <v>3749</v>
      </c>
      <c r="E5" s="13"/>
    </row>
    <row r="6" spans="1:5" x14ac:dyDescent="0.2">
      <c r="A6" s="2" t="s">
        <v>801</v>
      </c>
      <c r="B6" s="3">
        <v>596</v>
      </c>
      <c r="C6" s="3">
        <v>108</v>
      </c>
      <c r="D6" s="11">
        <f>SUM(MemberOfAssemblyAssemblyDistrict140General[[#This Row],[Part of Erie County Vote Results]:[Part of Niagara County Vote Results]])</f>
        <v>704</v>
      </c>
      <c r="E6" s="12">
        <f>MemberOfAssemblyAssemblyDistrict140General[[#This Row],[Total Votes by Party]]</f>
        <v>704</v>
      </c>
    </row>
    <row r="7" spans="1:5" x14ac:dyDescent="0.2">
      <c r="A7" s="2" t="s">
        <v>803</v>
      </c>
      <c r="B7" s="3">
        <v>1263</v>
      </c>
      <c r="C7" s="3">
        <v>264</v>
      </c>
      <c r="D7" s="11">
        <f>SUM(MemberOfAssemblyAssemblyDistrict140General[[#This Row],[Part of Erie County Vote Results]:[Part of Niagara County Vote Results]])</f>
        <v>1527</v>
      </c>
      <c r="E7" s="13"/>
    </row>
    <row r="8" spans="1:5" x14ac:dyDescent="0.2">
      <c r="A8" s="2" t="s">
        <v>804</v>
      </c>
      <c r="B8" s="3">
        <v>748</v>
      </c>
      <c r="C8" s="3">
        <v>75</v>
      </c>
      <c r="D8" s="11">
        <f>SUM(MemberOfAssemblyAssemblyDistrict140General[[#This Row],[Part of Erie County Vote Results]:[Part of Niagara County Vote Results]])</f>
        <v>823</v>
      </c>
      <c r="E8" s="12">
        <f>MemberOfAssemblyAssemblyDistrict140General[[#This Row],[Total Votes by Party]]</f>
        <v>823</v>
      </c>
    </row>
    <row r="9" spans="1:5" x14ac:dyDescent="0.2">
      <c r="A9" s="4" t="s">
        <v>0</v>
      </c>
      <c r="B9" s="3">
        <v>1346</v>
      </c>
      <c r="C9" s="3">
        <v>222</v>
      </c>
      <c r="D9" s="11">
        <f>SUM(MemberOfAssemblyAssemblyDistrict140General[[#This Row],[Part of Erie County Vote Results]:[Part of Niagara County Vote Results]])</f>
        <v>1568</v>
      </c>
      <c r="E9" s="13"/>
    </row>
    <row r="10" spans="1:5" x14ac:dyDescent="0.2">
      <c r="A10" s="4" t="s">
        <v>1</v>
      </c>
      <c r="B10" s="3">
        <v>0</v>
      </c>
      <c r="C10" s="3">
        <v>0</v>
      </c>
      <c r="D10" s="11">
        <f>SUM(MemberOfAssemblyAssemblyDistrict140General[[#This Row],[Part of Erie County Vote Results]:[Part of Niagara County Vote Results]])</f>
        <v>0</v>
      </c>
      <c r="E10" s="13"/>
    </row>
    <row r="11" spans="1:5" x14ac:dyDescent="0.2">
      <c r="A11" s="4" t="s">
        <v>2</v>
      </c>
      <c r="B11" s="5">
        <v>0</v>
      </c>
      <c r="C11" s="5">
        <v>7</v>
      </c>
      <c r="D11" s="11">
        <f>SUM(MemberOfAssemblyAssemblyDistrict140General[[#This Row],[Part of Erie County Vote Results]:[Part of Niagara County Vote Results]])</f>
        <v>7</v>
      </c>
      <c r="E11" s="13"/>
    </row>
    <row r="12" spans="1:5" hidden="1" x14ac:dyDescent="0.2">
      <c r="A12" s="4" t="s">
        <v>3</v>
      </c>
      <c r="B12" s="6">
        <f>SUBTOTAL(109,MemberOfAssemblyAssemblyDistrict140General[Part of Erie County Vote Results])</f>
        <v>39362</v>
      </c>
      <c r="C12" s="6">
        <f>SUBTOTAL(109,MemberOfAssemblyAssemblyDistrict140General[Part of Niagara County Vote Results])</f>
        <v>6928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C210-6DA8-4828-8F3C-7E8D88786E89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805</v>
      </c>
    </row>
    <row r="2" spans="1:4" ht="25.5" x14ac:dyDescent="0.2">
      <c r="A2" s="7" t="s">
        <v>5</v>
      </c>
      <c r="B2" s="8" t="s">
        <v>62</v>
      </c>
      <c r="C2" s="9" t="s">
        <v>869</v>
      </c>
      <c r="D2" s="10" t="s">
        <v>4</v>
      </c>
    </row>
    <row r="3" spans="1:4" x14ac:dyDescent="0.2">
      <c r="A3" s="2" t="s">
        <v>806</v>
      </c>
      <c r="B3" s="3">
        <v>31310</v>
      </c>
      <c r="C3" s="11">
        <f>MemberOfAssemblyAssemblyDistrict141General[[#This Row],[Part of Erie County Vote Results]]</f>
        <v>31310</v>
      </c>
      <c r="D3" s="12">
        <f>MemberOfAssemblyAssemblyDistrict141General[[#This Row],[Total Votes by Party]]</f>
        <v>31310</v>
      </c>
    </row>
    <row r="4" spans="1:4" x14ac:dyDescent="0.2">
      <c r="A4" s="2" t="s">
        <v>807</v>
      </c>
      <c r="B4" s="3">
        <v>3308</v>
      </c>
      <c r="C4" s="11">
        <f>MemberOfAssemblyAssemblyDistrict141General[[#This Row],[Part of Erie County Vote Results]]</f>
        <v>3308</v>
      </c>
      <c r="D4" s="12">
        <f>MemberOfAssemblyAssemblyDistrict141General[[#This Row],[Total Votes by Party]]</f>
        <v>3308</v>
      </c>
    </row>
    <row r="5" spans="1:4" x14ac:dyDescent="0.2">
      <c r="A5" s="4" t="s">
        <v>0</v>
      </c>
      <c r="B5" s="5">
        <v>1877</v>
      </c>
      <c r="C5" s="11">
        <f>MemberOfAssemblyAssemblyDistrict141General[[#This Row],[Part of Erie County Vote Results]]</f>
        <v>1877</v>
      </c>
      <c r="D5" s="13"/>
    </row>
    <row r="6" spans="1:4" x14ac:dyDescent="0.2">
      <c r="A6" s="4" t="s">
        <v>1</v>
      </c>
      <c r="B6" s="5">
        <v>0</v>
      </c>
      <c r="C6" s="11">
        <f>MemberOfAssemblyAssemblyDistrict141General[[#This Row],[Part of Erie County Vote Results]]</f>
        <v>0</v>
      </c>
      <c r="D6" s="13"/>
    </row>
    <row r="7" spans="1:4" x14ac:dyDescent="0.2">
      <c r="A7" s="4" t="s">
        <v>2</v>
      </c>
      <c r="B7" s="5">
        <v>0</v>
      </c>
      <c r="C7" s="11">
        <f>MemberOfAssemblyAssemblyDistrict141General[[#This Row],[Part of Erie County Vote Results]]</f>
        <v>0</v>
      </c>
      <c r="D7" s="13"/>
    </row>
    <row r="8" spans="1:4" hidden="1" x14ac:dyDescent="0.2">
      <c r="A8" s="4" t="s">
        <v>3</v>
      </c>
      <c r="B8" s="6">
        <f>SUBTOTAL(109,MemberOfAssemblyAssemblyDistrict141General[Total Votes by Candidate])</f>
        <v>34618</v>
      </c>
      <c r="C8" s="11">
        <f>SUM(MemberOfAssemblyAssemblyDistrict140General[[#This Row],[Part of Erie County Vote Results]:[Part of Niagara County Vote Results]])</f>
        <v>823</v>
      </c>
      <c r="D8" s="12">
        <f>MemberOfAssemblyAssemblyDistrict140General[[#This Row],[Total Votes by Party]]</f>
        <v>823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968C-FBCB-42A2-AFE8-1890959981A8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808</v>
      </c>
    </row>
    <row r="2" spans="1:4" ht="25.5" x14ac:dyDescent="0.2">
      <c r="A2" s="7" t="s">
        <v>5</v>
      </c>
      <c r="B2" s="8" t="s">
        <v>62</v>
      </c>
      <c r="C2" s="9" t="s">
        <v>869</v>
      </c>
      <c r="D2" s="10" t="s">
        <v>4</v>
      </c>
    </row>
    <row r="3" spans="1:4" x14ac:dyDescent="0.2">
      <c r="A3" s="2" t="s">
        <v>809</v>
      </c>
      <c r="B3" s="3">
        <v>23514</v>
      </c>
      <c r="C3" s="11">
        <f>MemberOfAssemblyAssemblyDistrict142General[[#This Row],[Part of Erie County Vote Results]]</f>
        <v>23514</v>
      </c>
      <c r="D3" s="12">
        <f>SUM(MemberOfAssemblyAssemblyDistrict142General[[#This Row],[Total Votes by Party]],C6,C8)</f>
        <v>25195</v>
      </c>
    </row>
    <row r="4" spans="1:4" x14ac:dyDescent="0.2">
      <c r="A4" s="2" t="s">
        <v>810</v>
      </c>
      <c r="B4" s="3">
        <v>17650</v>
      </c>
      <c r="C4" s="11">
        <f>MemberOfAssemblyAssemblyDistrict142General[[#This Row],[Part of Erie County Vote Results]]</f>
        <v>17650</v>
      </c>
      <c r="D4" s="12">
        <f>SUM(C4:C5)</f>
        <v>22061</v>
      </c>
    </row>
    <row r="5" spans="1:4" x14ac:dyDescent="0.2">
      <c r="A5" s="2" t="s">
        <v>811</v>
      </c>
      <c r="B5" s="3">
        <v>4411</v>
      </c>
      <c r="C5" s="11">
        <f>MemberOfAssemblyAssemblyDistrict142General[[#This Row],[Part of Erie County Vote Results]]</f>
        <v>4411</v>
      </c>
      <c r="D5" s="13"/>
    </row>
    <row r="6" spans="1:4" x14ac:dyDescent="0.2">
      <c r="A6" s="2" t="s">
        <v>812</v>
      </c>
      <c r="B6" s="3">
        <v>1415</v>
      </c>
      <c r="C6" s="11">
        <f>MemberOfAssemblyAssemblyDistrict142General[[#This Row],[Part of Erie County Vote Results]]</f>
        <v>1415</v>
      </c>
      <c r="D6" s="13"/>
    </row>
    <row r="7" spans="1:4" x14ac:dyDescent="0.2">
      <c r="A7" s="2" t="s">
        <v>813</v>
      </c>
      <c r="B7" s="3">
        <v>1308</v>
      </c>
      <c r="C7" s="11">
        <f>MemberOfAssemblyAssemblyDistrict142General[[#This Row],[Part of Erie County Vote Results]]</f>
        <v>1308</v>
      </c>
      <c r="D7" s="12">
        <f>MemberOfAssemblyAssemblyDistrict142General[[#This Row],[Total Votes by Party]]</f>
        <v>1308</v>
      </c>
    </row>
    <row r="8" spans="1:4" x14ac:dyDescent="0.2">
      <c r="A8" s="2" t="s">
        <v>814</v>
      </c>
      <c r="B8" s="3">
        <v>266</v>
      </c>
      <c r="C8" s="11">
        <f>MemberOfAssemblyAssemblyDistrict142General[[#This Row],[Part of Erie County Vote Results]]</f>
        <v>266</v>
      </c>
      <c r="D8" s="13"/>
    </row>
    <row r="9" spans="1:4" x14ac:dyDescent="0.2">
      <c r="A9" s="4" t="s">
        <v>0</v>
      </c>
      <c r="B9" s="5">
        <v>1714</v>
      </c>
      <c r="C9" s="11">
        <f>MemberOfAssemblyAssemblyDistrict142General[[#This Row],[Part of Erie County Vote Results]]</f>
        <v>1714</v>
      </c>
      <c r="D9" s="13"/>
    </row>
    <row r="10" spans="1:4" x14ac:dyDescent="0.2">
      <c r="A10" s="4" t="s">
        <v>1</v>
      </c>
      <c r="B10" s="5">
        <v>0</v>
      </c>
      <c r="C10" s="11">
        <f>MemberOfAssemblyAssemblyDistrict142General[[#This Row],[Part of Erie County Vote Results]]</f>
        <v>0</v>
      </c>
      <c r="D10" s="13"/>
    </row>
    <row r="11" spans="1:4" x14ac:dyDescent="0.2">
      <c r="A11" s="4" t="s">
        <v>2</v>
      </c>
      <c r="B11" s="5">
        <v>0</v>
      </c>
      <c r="C11" s="11">
        <f>MemberOfAssemblyAssemblyDistrict142General[[#This Row],[Part of Erie County Vote Results]]</f>
        <v>0</v>
      </c>
      <c r="D11" s="13"/>
    </row>
    <row r="12" spans="1:4" hidden="1" x14ac:dyDescent="0.2">
      <c r="A12" s="4" t="s">
        <v>3</v>
      </c>
      <c r="B12" s="6">
        <f>SUBTOTAL(109,MemberOfAssemblyAssemblyDistrict142General[Total Votes by Candidate])</f>
        <v>48564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779A-6DEA-4123-BF90-F585FBEF8016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815</v>
      </c>
    </row>
    <row r="2" spans="1:4" ht="25.5" x14ac:dyDescent="0.2">
      <c r="A2" s="7" t="s">
        <v>5</v>
      </c>
      <c r="B2" s="8" t="s">
        <v>62</v>
      </c>
      <c r="C2" s="9" t="s">
        <v>869</v>
      </c>
      <c r="D2" s="10" t="s">
        <v>4</v>
      </c>
    </row>
    <row r="3" spans="1:4" x14ac:dyDescent="0.2">
      <c r="A3" s="2" t="s">
        <v>816</v>
      </c>
      <c r="B3" s="3">
        <v>23903</v>
      </c>
      <c r="C3" s="11">
        <f>MemberOfAssemblyAssemblyDistrict143General[[#This Row],[Part of Erie County Vote Results]]</f>
        <v>23903</v>
      </c>
      <c r="D3" s="12">
        <f>SUM(MemberOfAssemblyAssemblyDistrict143General[[#This Row],[Total Votes by Party]],C5:C7)</f>
        <v>26697</v>
      </c>
    </row>
    <row r="4" spans="1:4" x14ac:dyDescent="0.2">
      <c r="A4" s="2" t="s">
        <v>817</v>
      </c>
      <c r="B4" s="3">
        <v>19246</v>
      </c>
      <c r="C4" s="11">
        <f>MemberOfAssemblyAssemblyDistrict143General[[#This Row],[Part of Erie County Vote Results]]</f>
        <v>19246</v>
      </c>
      <c r="D4" s="12">
        <f>MemberOfAssemblyAssemblyDistrict143General[[#This Row],[Total Votes by Party]]</f>
        <v>19246</v>
      </c>
    </row>
    <row r="5" spans="1:4" x14ac:dyDescent="0.2">
      <c r="A5" s="2" t="s">
        <v>818</v>
      </c>
      <c r="B5" s="3">
        <v>1240</v>
      </c>
      <c r="C5" s="11">
        <f>MemberOfAssemblyAssemblyDistrict143General[[#This Row],[Part of Erie County Vote Results]]</f>
        <v>1240</v>
      </c>
      <c r="D5" s="13"/>
    </row>
    <row r="6" spans="1:4" x14ac:dyDescent="0.2">
      <c r="A6" s="2" t="s">
        <v>819</v>
      </c>
      <c r="B6" s="3">
        <v>1094</v>
      </c>
      <c r="C6" s="11">
        <f>MemberOfAssemblyAssemblyDistrict143General[[#This Row],[Part of Erie County Vote Results]]</f>
        <v>1094</v>
      </c>
      <c r="D6" s="13"/>
    </row>
    <row r="7" spans="1:4" x14ac:dyDescent="0.2">
      <c r="A7" s="2" t="s">
        <v>820</v>
      </c>
      <c r="B7" s="3">
        <v>460</v>
      </c>
      <c r="C7" s="11">
        <f>MemberOfAssemblyAssemblyDistrict143General[[#This Row],[Part of Erie County Vote Results]]</f>
        <v>460</v>
      </c>
      <c r="D7" s="13"/>
    </row>
    <row r="8" spans="1:4" x14ac:dyDescent="0.2">
      <c r="A8" s="4" t="s">
        <v>0</v>
      </c>
      <c r="B8" s="5">
        <v>3275</v>
      </c>
      <c r="C8" s="11">
        <f>MemberOfAssemblyAssemblyDistrict143General[[#This Row],[Part of Erie County Vote Results]]</f>
        <v>3275</v>
      </c>
      <c r="D8" s="13"/>
    </row>
    <row r="9" spans="1:4" x14ac:dyDescent="0.2">
      <c r="A9" s="4" t="s">
        <v>1</v>
      </c>
      <c r="B9" s="5">
        <v>0</v>
      </c>
      <c r="C9" s="11">
        <f>MemberOfAssemblyAssemblyDistrict143General[[#This Row],[Part of Erie County Vote Results]]</f>
        <v>0</v>
      </c>
      <c r="D9" s="13"/>
    </row>
    <row r="10" spans="1:4" x14ac:dyDescent="0.2">
      <c r="A10" s="4" t="s">
        <v>2</v>
      </c>
      <c r="B10" s="5">
        <v>0</v>
      </c>
      <c r="C10" s="11">
        <f>MemberOfAssemblyAssemblyDistrict143General[[#This Row],[Part of Erie County Vote Results]]</f>
        <v>0</v>
      </c>
      <c r="D10" s="13"/>
    </row>
    <row r="11" spans="1:4" hidden="1" x14ac:dyDescent="0.2">
      <c r="A11" s="4" t="s">
        <v>3</v>
      </c>
      <c r="B11" s="6">
        <f>SUBTOTAL(109,MemberOfAssemblyAssemblyDistrict143General[Total Votes by Candidate])</f>
        <v>45943</v>
      </c>
      <c r="C11" s="11">
        <f>MemberOfAssemblyAssemblyDistrict142General[[#This Row],[Part of Erie County Vote Results]]</f>
        <v>0</v>
      </c>
      <c r="D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737F-0851-4333-87F7-D2AC35D7F306}">
  <sheetPr>
    <pageSetUpPr fitToPage="1"/>
  </sheetPr>
  <dimension ref="A1:F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821</v>
      </c>
    </row>
    <row r="2" spans="1:6" ht="25.5" x14ac:dyDescent="0.2">
      <c r="A2" s="7" t="s">
        <v>5</v>
      </c>
      <c r="B2" s="8" t="s">
        <v>62</v>
      </c>
      <c r="C2" s="8" t="s">
        <v>63</v>
      </c>
      <c r="D2" s="8" t="s">
        <v>61</v>
      </c>
      <c r="E2" s="9" t="s">
        <v>869</v>
      </c>
      <c r="F2" s="10" t="s">
        <v>4</v>
      </c>
    </row>
    <row r="3" spans="1:6" x14ac:dyDescent="0.2">
      <c r="A3" s="2" t="s">
        <v>822</v>
      </c>
      <c r="B3" s="3">
        <v>7756</v>
      </c>
      <c r="C3" s="3">
        <v>9510</v>
      </c>
      <c r="D3" s="3">
        <v>443</v>
      </c>
      <c r="E3" s="11">
        <f>SUM(MemberOfAssemblyAssemblyDistrict144General[[#This Row],[Part of Erie County Vote Results]:[Part of Orleans County Vote Results]])</f>
        <v>17709</v>
      </c>
      <c r="F3" s="12">
        <f>SUM(MemberOfAssemblyAssemblyDistrict144General[[#This Row],[Total Votes by Party]],E6,E8)</f>
        <v>19044</v>
      </c>
    </row>
    <row r="4" spans="1:6" x14ac:dyDescent="0.2">
      <c r="A4" s="2" t="s">
        <v>823</v>
      </c>
      <c r="B4" s="3">
        <v>10871</v>
      </c>
      <c r="C4" s="3">
        <v>13816</v>
      </c>
      <c r="D4" s="3">
        <v>795</v>
      </c>
      <c r="E4" s="11">
        <f>SUM(MemberOfAssemblyAssemblyDistrict144General[[#This Row],[Part of Erie County Vote Results]:[Part of Orleans County Vote Results]])</f>
        <v>25482</v>
      </c>
      <c r="F4" s="12">
        <f>SUM(E4:E5,E7,E9)</f>
        <v>31688</v>
      </c>
    </row>
    <row r="5" spans="1:6" x14ac:dyDescent="0.2">
      <c r="A5" s="2" t="s">
        <v>824</v>
      </c>
      <c r="B5" s="3">
        <v>2469</v>
      </c>
      <c r="C5" s="3">
        <v>2578</v>
      </c>
      <c r="D5" s="3">
        <v>112</v>
      </c>
      <c r="E5" s="11">
        <f>SUM(MemberOfAssemblyAssemblyDistrict144General[[#This Row],[Part of Erie County Vote Results]:[Part of Orleans County Vote Results]])</f>
        <v>5159</v>
      </c>
      <c r="F5" s="13"/>
    </row>
    <row r="6" spans="1:6" x14ac:dyDescent="0.2">
      <c r="A6" s="2" t="s">
        <v>825</v>
      </c>
      <c r="B6" s="3">
        <v>293</v>
      </c>
      <c r="C6" s="3">
        <v>585</v>
      </c>
      <c r="D6" s="3">
        <v>22</v>
      </c>
      <c r="E6" s="11">
        <f>SUM(MemberOfAssemblyAssemblyDistrict144General[[#This Row],[Part of Erie County Vote Results]:[Part of Orleans County Vote Results]])</f>
        <v>900</v>
      </c>
      <c r="F6" s="13"/>
    </row>
    <row r="7" spans="1:6" x14ac:dyDescent="0.2">
      <c r="A7" s="2" t="s">
        <v>826</v>
      </c>
      <c r="B7" s="3">
        <v>306</v>
      </c>
      <c r="C7" s="3">
        <v>519</v>
      </c>
      <c r="D7" s="3">
        <v>14</v>
      </c>
      <c r="E7" s="11">
        <f>SUM(MemberOfAssemblyAssemblyDistrict144General[[#This Row],[Part of Erie County Vote Results]:[Part of Orleans County Vote Results]])</f>
        <v>839</v>
      </c>
      <c r="F7" s="13"/>
    </row>
    <row r="8" spans="1:6" x14ac:dyDescent="0.2">
      <c r="A8" s="2" t="s">
        <v>827</v>
      </c>
      <c r="B8" s="3">
        <v>197</v>
      </c>
      <c r="C8" s="3">
        <v>230</v>
      </c>
      <c r="D8" s="3">
        <v>8</v>
      </c>
      <c r="E8" s="11">
        <f>SUM(MemberOfAssemblyAssemblyDistrict144General[[#This Row],[Part of Erie County Vote Results]:[Part of Orleans County Vote Results]])</f>
        <v>435</v>
      </c>
      <c r="F8" s="13"/>
    </row>
    <row r="9" spans="1:6" x14ac:dyDescent="0.2">
      <c r="A9" s="2" t="s">
        <v>828</v>
      </c>
      <c r="B9" s="3">
        <v>56</v>
      </c>
      <c r="C9" s="3">
        <v>138</v>
      </c>
      <c r="D9" s="3">
        <v>14</v>
      </c>
      <c r="E9" s="11">
        <f>SUM(MemberOfAssemblyAssemblyDistrict144General[[#This Row],[Part of Erie County Vote Results]:[Part of Orleans County Vote Results]])</f>
        <v>208</v>
      </c>
      <c r="F9" s="13"/>
    </row>
    <row r="10" spans="1:6" x14ac:dyDescent="0.2">
      <c r="A10" s="4" t="s">
        <v>0</v>
      </c>
      <c r="B10" s="3">
        <v>962</v>
      </c>
      <c r="C10" s="3">
        <v>966</v>
      </c>
      <c r="D10" s="3">
        <v>81</v>
      </c>
      <c r="E10" s="11">
        <f>SUM(MemberOfAssemblyAssemblyDistrict144General[[#This Row],[Part of Erie County Vote Results]:[Part of Orleans County Vote Results]])</f>
        <v>2009</v>
      </c>
      <c r="F10" s="13"/>
    </row>
    <row r="11" spans="1:6" x14ac:dyDescent="0.2">
      <c r="A11" s="4" t="s">
        <v>1</v>
      </c>
      <c r="B11" s="3">
        <v>0</v>
      </c>
      <c r="C11" s="3">
        <v>0</v>
      </c>
      <c r="D11" s="3">
        <v>2</v>
      </c>
      <c r="E11" s="11">
        <f>SUM(MemberOfAssemblyAssemblyDistrict144General[[#This Row],[Part of Erie County Vote Results]:[Part of Orleans County Vote Results]])</f>
        <v>2</v>
      </c>
      <c r="F11" s="13"/>
    </row>
    <row r="12" spans="1:6" x14ac:dyDescent="0.2">
      <c r="A12" s="4" t="s">
        <v>2</v>
      </c>
      <c r="B12" s="5">
        <v>0</v>
      </c>
      <c r="C12" s="5">
        <v>14</v>
      </c>
      <c r="D12" s="5">
        <v>0</v>
      </c>
      <c r="E12" s="11">
        <f>SUM(MemberOfAssemblyAssemblyDistrict144General[[#This Row],[Part of Erie County Vote Results]:[Part of Orleans County Vote Results]])</f>
        <v>14</v>
      </c>
      <c r="F12" s="13"/>
    </row>
    <row r="13" spans="1:6" hidden="1" x14ac:dyDescent="0.2">
      <c r="A13" s="4" t="s">
        <v>3</v>
      </c>
      <c r="B13" s="6">
        <f>SUBTOTAL(109,MemberOfAssemblyAssemblyDistrict144General[Part of Erie County Vote Results])</f>
        <v>22910</v>
      </c>
      <c r="C13" s="6"/>
      <c r="D13" s="6">
        <f>SUBTOTAL(109,MemberOfAssemblyAssemblyDistrict144General[Part of Orleans County Vote Results])</f>
        <v>1491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173A-BEF2-4BA2-B5D1-A69556D17C45}">
  <sheetPr>
    <pageSetUpPr fitToPage="1"/>
  </sheetPr>
  <dimension ref="A1:E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829</v>
      </c>
    </row>
    <row r="2" spans="1:5" ht="25.5" x14ac:dyDescent="0.2">
      <c r="A2" s="7" t="s">
        <v>5</v>
      </c>
      <c r="B2" s="8" t="s">
        <v>62</v>
      </c>
      <c r="C2" s="8" t="s">
        <v>63</v>
      </c>
      <c r="D2" s="9" t="s">
        <v>869</v>
      </c>
      <c r="E2" s="10" t="s">
        <v>4</v>
      </c>
    </row>
    <row r="3" spans="1:5" x14ac:dyDescent="0.2">
      <c r="A3" s="2" t="s">
        <v>830</v>
      </c>
      <c r="B3" s="3">
        <v>4833</v>
      </c>
      <c r="C3" s="3">
        <v>18610</v>
      </c>
      <c r="D3" s="11">
        <f>SUM(MemberOfAssemblyAssemblyDistrict145General[[#This Row],[Part of Erie County Vote Results]:[Part of Niagara County Vote Results]])</f>
        <v>23443</v>
      </c>
      <c r="E3" s="12">
        <f>SUM(D3:D6)</f>
        <v>31884</v>
      </c>
    </row>
    <row r="4" spans="1:5" x14ac:dyDescent="0.2">
      <c r="A4" s="2" t="s">
        <v>831</v>
      </c>
      <c r="B4" s="3">
        <v>1218</v>
      </c>
      <c r="C4" s="3">
        <v>3269</v>
      </c>
      <c r="D4" s="11">
        <f>SUM(MemberOfAssemblyAssemblyDistrict145General[[#This Row],[Part of Erie County Vote Results]:[Part of Niagara County Vote Results]])</f>
        <v>4487</v>
      </c>
      <c r="E4" s="13"/>
    </row>
    <row r="5" spans="1:5" x14ac:dyDescent="0.2">
      <c r="A5" s="2" t="s">
        <v>832</v>
      </c>
      <c r="B5" s="3">
        <v>804</v>
      </c>
      <c r="C5" s="3">
        <v>2626</v>
      </c>
      <c r="D5" s="11">
        <f>SUM(MemberOfAssemblyAssemblyDistrict145General[[#This Row],[Part of Erie County Vote Results]:[Part of Niagara County Vote Results]])</f>
        <v>3430</v>
      </c>
      <c r="E5" s="13"/>
    </row>
    <row r="6" spans="1:5" x14ac:dyDescent="0.2">
      <c r="A6" s="2" t="s">
        <v>833</v>
      </c>
      <c r="B6" s="3">
        <v>102</v>
      </c>
      <c r="C6" s="3">
        <v>422</v>
      </c>
      <c r="D6" s="11">
        <f>SUM(MemberOfAssemblyAssemblyDistrict145General[[#This Row],[Part of Erie County Vote Results]:[Part of Niagara County Vote Results]])</f>
        <v>524</v>
      </c>
      <c r="E6" s="13"/>
    </row>
    <row r="7" spans="1:5" x14ac:dyDescent="0.2">
      <c r="A7" s="4" t="s">
        <v>0</v>
      </c>
      <c r="B7" s="3">
        <v>2388</v>
      </c>
      <c r="C7" s="3">
        <v>10185</v>
      </c>
      <c r="D7" s="11">
        <f>SUM(MemberOfAssemblyAssemblyDistrict145General[[#This Row],[Part of Erie County Vote Results]:[Part of Niagara County Vote Results]])</f>
        <v>12573</v>
      </c>
      <c r="E7" s="13"/>
    </row>
    <row r="8" spans="1:5" x14ac:dyDescent="0.2">
      <c r="A8" s="4" t="s">
        <v>1</v>
      </c>
      <c r="B8" s="3">
        <v>0</v>
      </c>
      <c r="C8" s="3">
        <v>0</v>
      </c>
      <c r="D8" s="11">
        <f>SUM(MemberOfAssemblyAssemblyDistrict145General[[#This Row],[Part of Erie County Vote Results]:[Part of Niagara County Vote Results]])</f>
        <v>0</v>
      </c>
      <c r="E8" s="13"/>
    </row>
    <row r="9" spans="1:5" x14ac:dyDescent="0.2">
      <c r="A9" s="4" t="s">
        <v>2</v>
      </c>
      <c r="B9" s="5">
        <v>0</v>
      </c>
      <c r="C9" s="5">
        <v>187</v>
      </c>
      <c r="D9" s="11">
        <f>SUM(MemberOfAssemblyAssemblyDistrict145General[[#This Row],[Part of Erie County Vote Results]:[Part of Niagara County Vote Results]])</f>
        <v>187</v>
      </c>
      <c r="E9" s="13"/>
    </row>
    <row r="10" spans="1:5" hidden="1" x14ac:dyDescent="0.2">
      <c r="A10" s="4" t="s">
        <v>3</v>
      </c>
      <c r="B10" s="6">
        <f>SUBTOTAL(109,MemberOfAssemblyAssemblyDistrict145General[Part of Erie County Vote Results])</f>
        <v>9345</v>
      </c>
      <c r="C10" s="6">
        <f>SUBTOTAL(109,MemberOfAssemblyAssemblyDistrict145General[Part of Niagara County Vote Results])</f>
        <v>35299</v>
      </c>
      <c r="D10" s="11">
        <f>SUM(MemberOfAssemblyAssemblyDistrict144General[[#This Row],[Part of Erie County Vote Results]:[Part of Orleans County Vote Results]])</f>
        <v>2009</v>
      </c>
      <c r="E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6020-9AE9-4462-A8E4-46E297BAC31C}">
  <sheetPr>
    <pageSetUpPr fitToPage="1"/>
  </sheetPr>
  <dimension ref="A1:E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834</v>
      </c>
    </row>
    <row r="2" spans="1:5" ht="25.5" x14ac:dyDescent="0.2">
      <c r="A2" s="7" t="s">
        <v>5</v>
      </c>
      <c r="B2" s="8" t="s">
        <v>62</v>
      </c>
      <c r="C2" s="8" t="s">
        <v>63</v>
      </c>
      <c r="D2" s="9" t="s">
        <v>869</v>
      </c>
      <c r="E2" s="10" t="s">
        <v>4</v>
      </c>
    </row>
    <row r="3" spans="1:5" x14ac:dyDescent="0.2">
      <c r="A3" s="2" t="s">
        <v>835</v>
      </c>
      <c r="B3" s="3">
        <v>25100</v>
      </c>
      <c r="C3" s="3">
        <v>902</v>
      </c>
      <c r="D3" s="11">
        <f>SUM(MemberOfAssemblyAssemblyDistrict146General[[#This Row],[Part of Erie County Vote Results]:[Part of Niagara County Vote Results]])</f>
        <v>26002</v>
      </c>
      <c r="E3" s="12">
        <f>SUM(MemberOfAssemblyAssemblyDistrict146General[[#This Row],[Total Votes by Party]],D7,D9)</f>
        <v>27616</v>
      </c>
    </row>
    <row r="4" spans="1:5" x14ac:dyDescent="0.2">
      <c r="A4" s="2" t="s">
        <v>836</v>
      </c>
      <c r="B4" s="3">
        <v>17817</v>
      </c>
      <c r="C4" s="3">
        <v>1593</v>
      </c>
      <c r="D4" s="11">
        <f>SUM(MemberOfAssemblyAssemblyDistrict146General[[#This Row],[Part of Erie County Vote Results]:[Part of Niagara County Vote Results]])</f>
        <v>19410</v>
      </c>
      <c r="E4" s="12">
        <f>SUM(D4:D5,D8,D10)</f>
        <v>24160</v>
      </c>
    </row>
    <row r="5" spans="1:5" x14ac:dyDescent="0.2">
      <c r="A5" s="2" t="s">
        <v>838</v>
      </c>
      <c r="B5" s="3">
        <v>3491</v>
      </c>
      <c r="C5" s="3">
        <v>376</v>
      </c>
      <c r="D5" s="11">
        <f>SUM(MemberOfAssemblyAssemblyDistrict146General[[#This Row],[Part of Erie County Vote Results]:[Part of Niagara County Vote Results]])</f>
        <v>3867</v>
      </c>
      <c r="E5" s="13"/>
    </row>
    <row r="6" spans="1:5" x14ac:dyDescent="0.2">
      <c r="A6" s="2" t="s">
        <v>837</v>
      </c>
      <c r="B6" s="3">
        <v>327</v>
      </c>
      <c r="C6" s="3">
        <v>19</v>
      </c>
      <c r="D6" s="11">
        <f>SUM(MemberOfAssemblyAssemblyDistrict146General[[#This Row],[Part of Erie County Vote Results]:[Part of Niagara County Vote Results]])</f>
        <v>346</v>
      </c>
      <c r="E6" s="12">
        <f>MemberOfAssemblyAssemblyDistrict146General[[#This Row],[Total Votes by Party]]</f>
        <v>346</v>
      </c>
    </row>
    <row r="7" spans="1:5" x14ac:dyDescent="0.2">
      <c r="A7" s="2" t="s">
        <v>839</v>
      </c>
      <c r="B7" s="3">
        <v>1008</v>
      </c>
      <c r="C7" s="3">
        <v>42</v>
      </c>
      <c r="D7" s="11">
        <f>SUM(MemberOfAssemblyAssemblyDistrict146General[[#This Row],[Part of Erie County Vote Results]:[Part of Niagara County Vote Results]])</f>
        <v>1050</v>
      </c>
      <c r="E7" s="13"/>
    </row>
    <row r="8" spans="1:5" x14ac:dyDescent="0.2">
      <c r="A8" s="2" t="s">
        <v>840</v>
      </c>
      <c r="B8" s="3">
        <v>671</v>
      </c>
      <c r="C8" s="3">
        <v>69</v>
      </c>
      <c r="D8" s="11">
        <f>SUM(MemberOfAssemblyAssemblyDistrict146General[[#This Row],[Part of Erie County Vote Results]:[Part of Niagara County Vote Results]])</f>
        <v>740</v>
      </c>
      <c r="E8" s="13"/>
    </row>
    <row r="9" spans="1:5" x14ac:dyDescent="0.2">
      <c r="A9" s="2" t="s">
        <v>841</v>
      </c>
      <c r="B9" s="3">
        <v>549</v>
      </c>
      <c r="C9" s="3">
        <v>15</v>
      </c>
      <c r="D9" s="11">
        <f>SUM(MemberOfAssemblyAssemblyDistrict146General[[#This Row],[Part of Erie County Vote Results]:[Part of Niagara County Vote Results]])</f>
        <v>564</v>
      </c>
      <c r="E9" s="13"/>
    </row>
    <row r="10" spans="1:5" x14ac:dyDescent="0.2">
      <c r="A10" s="2" t="s">
        <v>842</v>
      </c>
      <c r="B10" s="3">
        <v>134</v>
      </c>
      <c r="C10" s="3">
        <v>9</v>
      </c>
      <c r="D10" s="11">
        <f>SUM(MemberOfAssemblyAssemblyDistrict146General[[#This Row],[Part of Erie County Vote Results]:[Part of Niagara County Vote Results]])</f>
        <v>143</v>
      </c>
      <c r="E10" s="13"/>
    </row>
    <row r="11" spans="1:5" x14ac:dyDescent="0.2">
      <c r="A11" s="4" t="s">
        <v>0</v>
      </c>
      <c r="B11" s="3">
        <v>1074</v>
      </c>
      <c r="C11" s="3">
        <v>62</v>
      </c>
      <c r="D11" s="11">
        <f>SUM(MemberOfAssemblyAssemblyDistrict146General[[#This Row],[Part of Erie County Vote Results]:[Part of Niagara County Vote Results]])</f>
        <v>1136</v>
      </c>
      <c r="E11" s="13"/>
    </row>
    <row r="12" spans="1:5" x14ac:dyDescent="0.2">
      <c r="A12" s="4" t="s">
        <v>1</v>
      </c>
      <c r="B12" s="3">
        <v>0</v>
      </c>
      <c r="C12" s="3">
        <v>0</v>
      </c>
      <c r="D12" s="11">
        <f>SUM(MemberOfAssemblyAssemblyDistrict146General[[#This Row],[Part of Erie County Vote Results]:[Part of Niagara County Vote Results]])</f>
        <v>0</v>
      </c>
      <c r="E12" s="13"/>
    </row>
    <row r="13" spans="1:5" x14ac:dyDescent="0.2">
      <c r="A13" s="4" t="s">
        <v>2</v>
      </c>
      <c r="B13" s="5">
        <v>0</v>
      </c>
      <c r="C13" s="5">
        <v>3</v>
      </c>
      <c r="D13" s="11">
        <f>SUM(MemberOfAssemblyAssemblyDistrict146General[[#This Row],[Part of Erie County Vote Results]:[Part of Niagara County Vote Results]])</f>
        <v>3</v>
      </c>
      <c r="E13" s="13"/>
    </row>
    <row r="14" spans="1:5" hidden="1" x14ac:dyDescent="0.2">
      <c r="A14" s="4" t="s">
        <v>3</v>
      </c>
      <c r="B14" s="6">
        <f>SUBTOTAL(109,MemberOfAssemblyAssemblyDistrict146General[Part of Erie County Vote Results])</f>
        <v>50171</v>
      </c>
      <c r="C14" s="6">
        <f>SUBTOTAL(109,MemberOfAssemblyAssemblyDistrict146General[Part of Niagara County Vote Results])</f>
        <v>3090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1556-CF5F-4CAD-9BB3-783146459EF5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843</v>
      </c>
    </row>
    <row r="2" spans="1:5" ht="25.5" x14ac:dyDescent="0.2">
      <c r="A2" s="7" t="s">
        <v>5</v>
      </c>
      <c r="B2" s="8" t="s">
        <v>64</v>
      </c>
      <c r="C2" s="8" t="s">
        <v>62</v>
      </c>
      <c r="D2" s="9" t="s">
        <v>869</v>
      </c>
      <c r="E2" s="10" t="s">
        <v>4</v>
      </c>
    </row>
    <row r="3" spans="1:5" x14ac:dyDescent="0.2">
      <c r="A3" s="2" t="s">
        <v>844</v>
      </c>
      <c r="B3" s="3">
        <v>3703</v>
      </c>
      <c r="C3" s="3">
        <v>15333</v>
      </c>
      <c r="D3" s="11">
        <f>SUM(MemberOfAssemblyAssemblyDistrict147General[[#This Row],[Wyoming County Vote Results]:[Part of Erie County Vote Results]])</f>
        <v>19036</v>
      </c>
      <c r="E3" s="12">
        <f>SUM(MemberOfAssemblyAssemblyDistrict147General[[#This Row],[Total Votes by Party]],D6)</f>
        <v>21052</v>
      </c>
    </row>
    <row r="4" spans="1:5" x14ac:dyDescent="0.2">
      <c r="A4" s="2" t="s">
        <v>845</v>
      </c>
      <c r="B4" s="3">
        <v>7711</v>
      </c>
      <c r="C4" s="3">
        <v>18766</v>
      </c>
      <c r="D4" s="11">
        <f>SUM(MemberOfAssemblyAssemblyDistrict147General[[#This Row],[Wyoming County Vote Results]:[Part of Erie County Vote Results]])</f>
        <v>26477</v>
      </c>
      <c r="E4" s="12">
        <f>SUM(D4:D5,D7)</f>
        <v>32757</v>
      </c>
    </row>
    <row r="5" spans="1:5" x14ac:dyDescent="0.2">
      <c r="A5" s="2" t="s">
        <v>846</v>
      </c>
      <c r="B5" s="3">
        <v>1194</v>
      </c>
      <c r="C5" s="3">
        <v>4772</v>
      </c>
      <c r="D5" s="11">
        <f>SUM(MemberOfAssemblyAssemblyDistrict147General[[#This Row],[Wyoming County Vote Results]:[Part of Erie County Vote Results]])</f>
        <v>5966</v>
      </c>
      <c r="E5" s="13"/>
    </row>
    <row r="6" spans="1:5" x14ac:dyDescent="0.2">
      <c r="A6" s="2" t="s">
        <v>847</v>
      </c>
      <c r="B6" s="3">
        <v>457</v>
      </c>
      <c r="C6" s="3">
        <v>1559</v>
      </c>
      <c r="D6" s="11">
        <f>SUM(MemberOfAssemblyAssemblyDistrict147General[[#This Row],[Wyoming County Vote Results]:[Part of Erie County Vote Results]])</f>
        <v>2016</v>
      </c>
      <c r="E6" s="13"/>
    </row>
    <row r="7" spans="1:5" x14ac:dyDescent="0.2">
      <c r="A7" s="2" t="s">
        <v>848</v>
      </c>
      <c r="B7" s="3">
        <v>78</v>
      </c>
      <c r="C7" s="3">
        <v>236</v>
      </c>
      <c r="D7" s="11">
        <f>SUM(MemberOfAssemblyAssemblyDistrict147General[[#This Row],[Wyoming County Vote Results]:[Part of Erie County Vote Results]])</f>
        <v>314</v>
      </c>
      <c r="E7" s="13"/>
    </row>
    <row r="8" spans="1:5" x14ac:dyDescent="0.2">
      <c r="A8" s="4" t="s">
        <v>0</v>
      </c>
      <c r="B8" s="3">
        <v>383</v>
      </c>
      <c r="C8" s="3">
        <v>1371</v>
      </c>
      <c r="D8" s="11">
        <f>SUM(MemberOfAssemblyAssemblyDistrict147General[[#This Row],[Wyoming County Vote Results]:[Part of Erie County Vote Results]])</f>
        <v>1754</v>
      </c>
      <c r="E8" s="13"/>
    </row>
    <row r="9" spans="1:5" x14ac:dyDescent="0.2">
      <c r="A9" s="4" t="s">
        <v>1</v>
      </c>
      <c r="B9" s="3">
        <v>6</v>
      </c>
      <c r="C9" s="3">
        <v>0</v>
      </c>
      <c r="D9" s="11">
        <f>SUM(MemberOfAssemblyAssemblyDistrict147General[[#This Row],[Wyoming County Vote Results]:[Part of Erie County Vote Results]])</f>
        <v>6</v>
      </c>
      <c r="E9" s="13"/>
    </row>
    <row r="10" spans="1:5" x14ac:dyDescent="0.2">
      <c r="A10" s="4" t="s">
        <v>2</v>
      </c>
      <c r="B10" s="5">
        <v>3</v>
      </c>
      <c r="C10" s="5">
        <v>0</v>
      </c>
      <c r="D10" s="11">
        <f>SUM(MemberOfAssemblyAssemblyDistrict147General[[#This Row],[Wyoming County Vote Results]:[Part of Erie County Vote Results]])</f>
        <v>3</v>
      </c>
      <c r="E10" s="13"/>
    </row>
    <row r="11" spans="1:5" hidden="1" x14ac:dyDescent="0.2">
      <c r="A11" s="4" t="s">
        <v>3</v>
      </c>
      <c r="B11" s="6">
        <f>SUBTOTAL(109,MemberOfAssemblyAssemblyDistrict147General[Wyoming County Vote Results])</f>
        <v>13535</v>
      </c>
      <c r="C11" s="6">
        <f>SUBTOTAL(109,MemberOfAssemblyAssemblyDistrict147General[Part of Erie County Vote Results])</f>
        <v>42037</v>
      </c>
      <c r="D11" s="11">
        <f>SUM(MemberOfAssemblyAssemblyDistrict146General[[#This Row],[Part of Erie County Vote Results]:[Part of Niagara County Vote Results]])</f>
        <v>1136</v>
      </c>
      <c r="E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E85D-380F-4112-902F-A499D4AA2B94}">
  <sheetPr>
    <pageSetUpPr fitToPage="1"/>
  </sheetPr>
  <dimension ref="A1:F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849</v>
      </c>
    </row>
    <row r="2" spans="1:6" ht="25.5" x14ac:dyDescent="0.2">
      <c r="A2" s="7" t="s">
        <v>5</v>
      </c>
      <c r="B2" s="8" t="s">
        <v>65</v>
      </c>
      <c r="C2" s="8" t="s">
        <v>66</v>
      </c>
      <c r="D2" s="8" t="s">
        <v>57</v>
      </c>
      <c r="E2" s="9" t="s">
        <v>869</v>
      </c>
      <c r="F2" s="10" t="s">
        <v>4</v>
      </c>
    </row>
    <row r="3" spans="1:6" x14ac:dyDescent="0.2">
      <c r="A3" s="2" t="s">
        <v>850</v>
      </c>
      <c r="B3" s="3">
        <v>10933</v>
      </c>
      <c r="C3" s="3">
        <v>15909</v>
      </c>
      <c r="D3" s="3">
        <v>886</v>
      </c>
      <c r="E3" s="11">
        <f>SUM(MemberOfAssemblyAssemblyDistrict148General[[#This Row],[Allegany County Vote Results]:[Part of Steuben County Vote Results]])</f>
        <v>27728</v>
      </c>
      <c r="F3" s="12">
        <f>SUM(E3:E5)</f>
        <v>33574</v>
      </c>
    </row>
    <row r="4" spans="1:6" x14ac:dyDescent="0.2">
      <c r="A4" s="2" t="s">
        <v>851</v>
      </c>
      <c r="B4" s="3">
        <v>1137</v>
      </c>
      <c r="C4" s="3">
        <v>2151</v>
      </c>
      <c r="D4" s="3">
        <v>70</v>
      </c>
      <c r="E4" s="11">
        <f>SUM(MemberOfAssemblyAssemblyDistrict148General[[#This Row],[Allegany County Vote Results]:[Part of Steuben County Vote Results]])</f>
        <v>3358</v>
      </c>
      <c r="F4" s="13"/>
    </row>
    <row r="5" spans="1:6" x14ac:dyDescent="0.2">
      <c r="A5" s="2" t="s">
        <v>852</v>
      </c>
      <c r="B5" s="3">
        <v>709</v>
      </c>
      <c r="C5" s="3">
        <v>1746</v>
      </c>
      <c r="D5" s="3">
        <v>33</v>
      </c>
      <c r="E5" s="11">
        <f>SUM(MemberOfAssemblyAssemblyDistrict148General[[#This Row],[Allegany County Vote Results]:[Part of Steuben County Vote Results]])</f>
        <v>2488</v>
      </c>
      <c r="F5" s="13"/>
    </row>
    <row r="6" spans="1:6" x14ac:dyDescent="0.2">
      <c r="A6" s="4" t="s">
        <v>0</v>
      </c>
      <c r="B6" s="3">
        <v>2523</v>
      </c>
      <c r="C6" s="3">
        <v>4729</v>
      </c>
      <c r="D6" s="3">
        <v>209</v>
      </c>
      <c r="E6" s="11">
        <f>SUM(MemberOfAssemblyAssemblyDistrict148General[[#This Row],[Allegany County Vote Results]:[Part of Steuben County Vote Results]])</f>
        <v>7461</v>
      </c>
      <c r="F6" s="13"/>
    </row>
    <row r="7" spans="1:6" x14ac:dyDescent="0.2">
      <c r="A7" s="4" t="s">
        <v>1</v>
      </c>
      <c r="B7" s="3">
        <v>3</v>
      </c>
      <c r="C7" s="3">
        <v>36</v>
      </c>
      <c r="D7" s="3">
        <v>0</v>
      </c>
      <c r="E7" s="11">
        <f>SUM(MemberOfAssemblyAssemblyDistrict148General[[#This Row],[Allegany County Vote Results]:[Part of Steuben County Vote Results]])</f>
        <v>39</v>
      </c>
      <c r="F7" s="13"/>
    </row>
    <row r="8" spans="1:6" x14ac:dyDescent="0.2">
      <c r="A8" s="4" t="s">
        <v>2</v>
      </c>
      <c r="B8" s="5">
        <v>48</v>
      </c>
      <c r="C8" s="5">
        <v>50</v>
      </c>
      <c r="D8" s="5">
        <v>1</v>
      </c>
      <c r="E8" s="11">
        <f>SUM(MemberOfAssemblyAssemblyDistrict148General[[#This Row],[Allegany County Vote Results]:[Part of Steuben County Vote Results]])</f>
        <v>99</v>
      </c>
      <c r="F8" s="13"/>
    </row>
    <row r="9" spans="1:6" hidden="1" x14ac:dyDescent="0.2">
      <c r="A9" s="4" t="s">
        <v>3</v>
      </c>
      <c r="B9" s="6">
        <f>SUBTOTAL(109,MemberOfAssemblyAssemblyDistrict148General[Allegany County Vote Results])</f>
        <v>15353</v>
      </c>
      <c r="C9" s="6"/>
      <c r="D9" s="6">
        <f>SUBTOTAL(109,MemberOfAssemblyAssemblyDistrict148General[Part of Steuben County Vote Results])</f>
        <v>1199</v>
      </c>
      <c r="E9" s="11">
        <f>SUM(MemberOfAssemblyAssemblyDistrict147General[[#This Row],[Wyoming County Vote Results]:[Part of Erie County Vote Results]])</f>
        <v>6</v>
      </c>
      <c r="F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583C-B832-4D6B-9C34-8D824D3EA9CD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853</v>
      </c>
    </row>
    <row r="2" spans="1:4" ht="25.5" x14ac:dyDescent="0.2">
      <c r="A2" s="7" t="s">
        <v>5</v>
      </c>
      <c r="B2" s="8" t="s">
        <v>62</v>
      </c>
      <c r="C2" s="9" t="s">
        <v>869</v>
      </c>
      <c r="D2" s="10" t="s">
        <v>4</v>
      </c>
    </row>
    <row r="3" spans="1:4" x14ac:dyDescent="0.2">
      <c r="A3" s="2" t="s">
        <v>854</v>
      </c>
      <c r="B3" s="3">
        <v>27724</v>
      </c>
      <c r="C3" s="11">
        <f>MemberOfAssemblyAssemblyDistrict149General[[#This Row],[Part of Erie County Vote Results]]</f>
        <v>27724</v>
      </c>
      <c r="D3" s="12">
        <f>SUM(MemberOfAssemblyAssemblyDistrict149General[[#This Row],[Total Votes by Party]],C5:C7)</f>
        <v>31233</v>
      </c>
    </row>
    <row r="4" spans="1:4" x14ac:dyDescent="0.2">
      <c r="A4" s="2" t="s">
        <v>855</v>
      </c>
      <c r="B4" s="3">
        <v>12062</v>
      </c>
      <c r="C4" s="11">
        <f>MemberOfAssemblyAssemblyDistrict149General[[#This Row],[Part of Erie County Vote Results]]</f>
        <v>12062</v>
      </c>
      <c r="D4" s="12">
        <f>MemberOfAssemblyAssemblyDistrict149General[[#This Row],[Total Votes by Party]]</f>
        <v>12062</v>
      </c>
    </row>
    <row r="5" spans="1:4" x14ac:dyDescent="0.2">
      <c r="A5" s="2" t="s">
        <v>856</v>
      </c>
      <c r="B5" s="3">
        <v>1782</v>
      </c>
      <c r="C5" s="11">
        <f>MemberOfAssemblyAssemblyDistrict149General[[#This Row],[Part of Erie County Vote Results]]</f>
        <v>1782</v>
      </c>
      <c r="D5" s="13"/>
    </row>
    <row r="6" spans="1:4" x14ac:dyDescent="0.2">
      <c r="A6" s="2" t="s">
        <v>857</v>
      </c>
      <c r="B6" s="3">
        <v>1056</v>
      </c>
      <c r="C6" s="11">
        <f>MemberOfAssemblyAssemblyDistrict149General[[#This Row],[Part of Erie County Vote Results]]</f>
        <v>1056</v>
      </c>
      <c r="D6" s="13"/>
    </row>
    <row r="7" spans="1:4" x14ac:dyDescent="0.2">
      <c r="A7" s="2" t="s">
        <v>858</v>
      </c>
      <c r="B7" s="3">
        <v>671</v>
      </c>
      <c r="C7" s="11">
        <f>MemberOfAssemblyAssemblyDistrict149General[[#This Row],[Part of Erie County Vote Results]]</f>
        <v>671</v>
      </c>
      <c r="D7" s="13"/>
    </row>
    <row r="8" spans="1:4" x14ac:dyDescent="0.2">
      <c r="A8" s="4" t="s">
        <v>0</v>
      </c>
      <c r="B8" s="5">
        <v>2847</v>
      </c>
      <c r="C8" s="11">
        <f>MemberOfAssemblyAssemblyDistrict149General[[#This Row],[Part of Erie County Vote Results]]</f>
        <v>2847</v>
      </c>
      <c r="D8" s="13"/>
    </row>
    <row r="9" spans="1:4" x14ac:dyDescent="0.2">
      <c r="A9" s="4" t="s">
        <v>1</v>
      </c>
      <c r="B9" s="5">
        <v>0</v>
      </c>
      <c r="C9" s="11">
        <f>MemberOfAssemblyAssemblyDistrict149General[[#This Row],[Part of Erie County Vote Results]]</f>
        <v>0</v>
      </c>
      <c r="D9" s="13"/>
    </row>
    <row r="10" spans="1:4" x14ac:dyDescent="0.2">
      <c r="A10" s="4" t="s">
        <v>2</v>
      </c>
      <c r="B10" s="5">
        <v>0</v>
      </c>
      <c r="C10" s="11">
        <f>MemberOfAssemblyAssemblyDistrict149General[[#This Row],[Part of Erie County Vote Results]]</f>
        <v>0</v>
      </c>
      <c r="D10" s="13"/>
    </row>
    <row r="11" spans="1:4" hidden="1" x14ac:dyDescent="0.2">
      <c r="A11" s="4" t="s">
        <v>3</v>
      </c>
      <c r="B11" s="6">
        <f>SUBTOTAL(109,MemberOfAssemblyAssemblyDistrict149General[Total Votes by Candidate])</f>
        <v>43295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8563-D0B0-4E57-A532-FCB750CC1222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163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164</v>
      </c>
      <c r="B3" s="3">
        <v>21673</v>
      </c>
      <c r="C3" s="11">
        <f>MemberOfAssemblyAssemblyDistrict15General[[#This Row],[Part of Nassau County Vote Results]]</f>
        <v>21673</v>
      </c>
      <c r="D3" s="12">
        <f>SUM(MemberOfAssemblyAssemblyDistrict15General[[#This Row],[Total Votes by Party]],C6,C8)</f>
        <v>22452</v>
      </c>
    </row>
    <row r="4" spans="1:4" x14ac:dyDescent="0.2">
      <c r="A4" s="2" t="s">
        <v>165</v>
      </c>
      <c r="B4" s="3">
        <v>22022</v>
      </c>
      <c r="C4" s="11">
        <f>MemberOfAssemblyAssemblyDistrict15General[[#This Row],[Part of Nassau County Vote Results]]</f>
        <v>22022</v>
      </c>
      <c r="D4" s="12">
        <f>SUM(C4:C5,C7,C9)</f>
        <v>24902</v>
      </c>
    </row>
    <row r="5" spans="1:4" x14ac:dyDescent="0.2">
      <c r="A5" s="2" t="s">
        <v>166</v>
      </c>
      <c r="B5" s="3">
        <v>2357</v>
      </c>
      <c r="C5" s="11">
        <f>MemberOfAssemblyAssemblyDistrict15General[[#This Row],[Part of Nassau County Vote Results]]</f>
        <v>2357</v>
      </c>
      <c r="D5" s="13"/>
    </row>
    <row r="6" spans="1:4" x14ac:dyDescent="0.2">
      <c r="A6" s="2" t="s">
        <v>167</v>
      </c>
      <c r="B6" s="3">
        <v>462</v>
      </c>
      <c r="C6" s="11">
        <f>MemberOfAssemblyAssemblyDistrict15General[[#This Row],[Part of Nassau County Vote Results]]</f>
        <v>462</v>
      </c>
      <c r="D6" s="13"/>
    </row>
    <row r="7" spans="1:4" x14ac:dyDescent="0.2">
      <c r="A7" s="2" t="s">
        <v>168</v>
      </c>
      <c r="B7" s="3">
        <v>412</v>
      </c>
      <c r="C7" s="11">
        <f>MemberOfAssemblyAssemblyDistrict15General[[#This Row],[Part of Nassau County Vote Results]]</f>
        <v>412</v>
      </c>
      <c r="D7" s="13"/>
    </row>
    <row r="8" spans="1:4" x14ac:dyDescent="0.2">
      <c r="A8" s="2" t="s">
        <v>169</v>
      </c>
      <c r="B8" s="3">
        <v>317</v>
      </c>
      <c r="C8" s="11">
        <f>MemberOfAssemblyAssemblyDistrict15General[[#This Row],[Part of Nassau County Vote Results]]</f>
        <v>317</v>
      </c>
      <c r="D8" s="13"/>
    </row>
    <row r="9" spans="1:4" x14ac:dyDescent="0.2">
      <c r="A9" s="2" t="s">
        <v>170</v>
      </c>
      <c r="B9" s="3">
        <v>111</v>
      </c>
      <c r="C9" s="11">
        <f>MemberOfAssemblyAssemblyDistrict15General[[#This Row],[Part of Nassau County Vote Results]]</f>
        <v>111</v>
      </c>
      <c r="D9" s="13"/>
    </row>
    <row r="10" spans="1:4" x14ac:dyDescent="0.2">
      <c r="A10" s="4" t="s">
        <v>0</v>
      </c>
      <c r="B10" s="5">
        <v>1433</v>
      </c>
      <c r="C10" s="11">
        <f>MemberOfAssemblyAssemblyDistrict15General[[#This Row],[Part of Nassau County Vote Results]]</f>
        <v>1433</v>
      </c>
      <c r="D10" s="13"/>
    </row>
    <row r="11" spans="1:4" x14ac:dyDescent="0.2">
      <c r="A11" s="4" t="s">
        <v>1</v>
      </c>
      <c r="B11" s="5">
        <v>23</v>
      </c>
      <c r="C11" s="11">
        <f>MemberOfAssemblyAssemblyDistrict15General[[#This Row],[Part of Nassau County Vote Results]]</f>
        <v>23</v>
      </c>
      <c r="D11" s="13"/>
    </row>
    <row r="12" spans="1:4" x14ac:dyDescent="0.2">
      <c r="A12" s="4" t="s">
        <v>2</v>
      </c>
      <c r="B12" s="5">
        <v>9</v>
      </c>
      <c r="C12" s="11">
        <f>MemberOfAssemblyAssemblyDistrict15General[[#This Row],[Part of Nassau County Vote Results]]</f>
        <v>9</v>
      </c>
      <c r="D12" s="13"/>
    </row>
    <row r="13" spans="1:4" hidden="1" x14ac:dyDescent="0.2">
      <c r="A13" s="4" t="s">
        <v>3</v>
      </c>
      <c r="B13" s="6">
        <f>SUBTOTAL(109,MemberOfAssemblyAssemblyDistrict15General[Total Votes by Candidate])</f>
        <v>47354</v>
      </c>
      <c r="C13" s="11">
        <f>MemberOfAssemblyAssemblyDistrict14General[[#This Row],[Part of Nassau County Vote Results]]</f>
        <v>25</v>
      </c>
      <c r="D13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AFEB-71FC-4E16-BF04-2791371109FC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859</v>
      </c>
    </row>
    <row r="2" spans="1:4" ht="25.5" x14ac:dyDescent="0.2">
      <c r="A2" s="7" t="s">
        <v>5</v>
      </c>
      <c r="B2" s="8" t="s">
        <v>67</v>
      </c>
      <c r="C2" s="9" t="s">
        <v>869</v>
      </c>
      <c r="D2" s="10" t="s">
        <v>4</v>
      </c>
    </row>
    <row r="3" spans="1:4" x14ac:dyDescent="0.2">
      <c r="A3" s="2" t="s">
        <v>860</v>
      </c>
      <c r="B3" s="3">
        <v>12608</v>
      </c>
      <c r="C3" s="11">
        <f>MemberOfAssemblyAssemblyDistrict150General[[#This Row],[Chautauqua County Vote Results]]</f>
        <v>12608</v>
      </c>
      <c r="D3" s="12">
        <f>SUM(MemberOfAssemblyAssemblyDistrict150General[[#This Row],[Total Votes by Party]],C6,C8)</f>
        <v>13611</v>
      </c>
    </row>
    <row r="4" spans="1:4" x14ac:dyDescent="0.2">
      <c r="A4" s="2" t="s">
        <v>861</v>
      </c>
      <c r="B4" s="3">
        <v>25090</v>
      </c>
      <c r="C4" s="11">
        <f>MemberOfAssemblyAssemblyDistrict150General[[#This Row],[Chautauqua County Vote Results]]</f>
        <v>25090</v>
      </c>
      <c r="D4" s="12">
        <f>SUM(C4:C5,C7)</f>
        <v>29821</v>
      </c>
    </row>
    <row r="5" spans="1:4" x14ac:dyDescent="0.2">
      <c r="A5" s="2" t="s">
        <v>862</v>
      </c>
      <c r="B5" s="3">
        <v>3368</v>
      </c>
      <c r="C5" s="11">
        <f>MemberOfAssemblyAssemblyDistrict150General[[#This Row],[Chautauqua County Vote Results]]</f>
        <v>3368</v>
      </c>
      <c r="D5" s="13"/>
    </row>
    <row r="6" spans="1:4" x14ac:dyDescent="0.2">
      <c r="A6" s="2" t="s">
        <v>863</v>
      </c>
      <c r="B6" s="3">
        <v>659</v>
      </c>
      <c r="C6" s="11">
        <f>MemberOfAssemblyAssemblyDistrict150General[[#This Row],[Chautauqua County Vote Results]]</f>
        <v>659</v>
      </c>
      <c r="D6" s="13"/>
    </row>
    <row r="7" spans="1:4" x14ac:dyDescent="0.2">
      <c r="A7" s="2" t="s">
        <v>864</v>
      </c>
      <c r="B7" s="3">
        <v>1363</v>
      </c>
      <c r="C7" s="11">
        <f>MemberOfAssemblyAssemblyDistrict150General[[#This Row],[Chautauqua County Vote Results]]</f>
        <v>1363</v>
      </c>
      <c r="D7" s="13"/>
    </row>
    <row r="8" spans="1:4" x14ac:dyDescent="0.2">
      <c r="A8" s="2" t="s">
        <v>865</v>
      </c>
      <c r="B8" s="3">
        <v>344</v>
      </c>
      <c r="C8" s="11">
        <f>MemberOfAssemblyAssemblyDistrict150General[[#This Row],[Chautauqua County Vote Results]]</f>
        <v>344</v>
      </c>
      <c r="D8" s="13"/>
    </row>
    <row r="9" spans="1:4" x14ac:dyDescent="0.2">
      <c r="A9" s="4" t="s">
        <v>0</v>
      </c>
      <c r="B9" s="5">
        <v>1038</v>
      </c>
      <c r="C9" s="11">
        <f>MemberOfAssemblyAssemblyDistrict150General[[#This Row],[Chautauqua County Vote Results]]</f>
        <v>1038</v>
      </c>
      <c r="D9" s="13"/>
    </row>
    <row r="10" spans="1:4" x14ac:dyDescent="0.2">
      <c r="A10" s="4" t="s">
        <v>1</v>
      </c>
      <c r="B10" s="5">
        <v>20</v>
      </c>
      <c r="C10" s="11">
        <f>MemberOfAssemblyAssemblyDistrict150General[[#This Row],[Chautauqua County Vote Results]]</f>
        <v>20</v>
      </c>
      <c r="D10" s="13"/>
    </row>
    <row r="11" spans="1:4" x14ac:dyDescent="0.2">
      <c r="A11" s="4" t="s">
        <v>2</v>
      </c>
      <c r="B11" s="5">
        <v>15</v>
      </c>
      <c r="C11" s="11">
        <f>MemberOfAssemblyAssemblyDistrict150General[[#This Row],[Chautauqua County Vote Results]]</f>
        <v>15</v>
      </c>
      <c r="D11" s="13"/>
    </row>
    <row r="12" spans="1:4" hidden="1" x14ac:dyDescent="0.2">
      <c r="A12" s="4" t="s">
        <v>3</v>
      </c>
      <c r="B12" s="6">
        <f>SUBTOTAL(109,MemberOfAssemblyAssemblyDistrict150General[Total Votes by Candidate])</f>
        <v>43432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1075-D918-4060-BF71-8D1A53A927F3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171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172</v>
      </c>
      <c r="B3" s="3">
        <v>28913</v>
      </c>
      <c r="C3" s="11">
        <f>MemberOfAssemblyAssemblyDistrict16General[[#This Row],[Part of Nassau County Vote Results]]</f>
        <v>28913</v>
      </c>
      <c r="D3" s="12">
        <f>SUM(MemberOfAssemblyAssemblyDistrict16General[[#This Row],[Total Votes by Party]],C6:C9)</f>
        <v>30151</v>
      </c>
    </row>
    <row r="4" spans="1:4" x14ac:dyDescent="0.2">
      <c r="A4" s="2" t="s">
        <v>173</v>
      </c>
      <c r="B4" s="3">
        <v>16749</v>
      </c>
      <c r="C4" s="11">
        <f>MemberOfAssemblyAssemblyDistrict16General[[#This Row],[Part of Nassau County Vote Results]]</f>
        <v>16749</v>
      </c>
      <c r="D4" s="12">
        <f>SUM(C4:C5)</f>
        <v>18062</v>
      </c>
    </row>
    <row r="5" spans="1:4" x14ac:dyDescent="0.2">
      <c r="A5" s="2" t="s">
        <v>174</v>
      </c>
      <c r="B5" s="3">
        <v>1313</v>
      </c>
      <c r="C5" s="11">
        <f>MemberOfAssemblyAssemblyDistrict16General[[#This Row],[Part of Nassau County Vote Results]]</f>
        <v>1313</v>
      </c>
      <c r="D5" s="13"/>
    </row>
    <row r="6" spans="1:4" x14ac:dyDescent="0.2">
      <c r="A6" s="2" t="s">
        <v>175</v>
      </c>
      <c r="B6" s="3">
        <v>521</v>
      </c>
      <c r="C6" s="11">
        <f>MemberOfAssemblyAssemblyDistrict16General[[#This Row],[Part of Nassau County Vote Results]]</f>
        <v>521</v>
      </c>
      <c r="D6" s="13"/>
    </row>
    <row r="7" spans="1:4" x14ac:dyDescent="0.2">
      <c r="A7" s="2" t="s">
        <v>176</v>
      </c>
      <c r="B7" s="3">
        <v>383</v>
      </c>
      <c r="C7" s="11">
        <f>MemberOfAssemblyAssemblyDistrict16General[[#This Row],[Part of Nassau County Vote Results]]</f>
        <v>383</v>
      </c>
      <c r="D7" s="13"/>
    </row>
    <row r="8" spans="1:4" x14ac:dyDescent="0.2">
      <c r="A8" s="2" t="s">
        <v>177</v>
      </c>
      <c r="B8" s="3">
        <v>259</v>
      </c>
      <c r="C8" s="11">
        <f>MemberOfAssemblyAssemblyDistrict16General[[#This Row],[Part of Nassau County Vote Results]]</f>
        <v>259</v>
      </c>
      <c r="D8" s="13"/>
    </row>
    <row r="9" spans="1:4" x14ac:dyDescent="0.2">
      <c r="A9" s="2" t="s">
        <v>178</v>
      </c>
      <c r="B9" s="3">
        <v>75</v>
      </c>
      <c r="C9" s="11">
        <f>MemberOfAssemblyAssemblyDistrict16General[[#This Row],[Part of Nassau County Vote Results]]</f>
        <v>75</v>
      </c>
      <c r="D9" s="13"/>
    </row>
    <row r="10" spans="1:4" x14ac:dyDescent="0.2">
      <c r="A10" s="4" t="s">
        <v>0</v>
      </c>
      <c r="B10" s="5">
        <v>1621</v>
      </c>
      <c r="C10" s="11">
        <f>MemberOfAssemblyAssemblyDistrict16General[[#This Row],[Part of Nassau County Vote Results]]</f>
        <v>1621</v>
      </c>
      <c r="D10" s="13"/>
    </row>
    <row r="11" spans="1:4" x14ac:dyDescent="0.2">
      <c r="A11" s="4" t="s">
        <v>1</v>
      </c>
      <c r="B11" s="5">
        <v>18</v>
      </c>
      <c r="C11" s="11">
        <f>MemberOfAssemblyAssemblyDistrict16General[[#This Row],[Part of Nassau County Vote Results]]</f>
        <v>18</v>
      </c>
      <c r="D11" s="13"/>
    </row>
    <row r="12" spans="1:4" x14ac:dyDescent="0.2">
      <c r="A12" s="4" t="s">
        <v>2</v>
      </c>
      <c r="B12" s="5">
        <v>14</v>
      </c>
      <c r="C12" s="11">
        <f>MemberOfAssemblyAssemblyDistrict16General[[#This Row],[Part of Nassau County Vote Results]]</f>
        <v>14</v>
      </c>
      <c r="D12" s="13"/>
    </row>
    <row r="13" spans="1:4" hidden="1" x14ac:dyDescent="0.2">
      <c r="A13" s="4" t="s">
        <v>3</v>
      </c>
      <c r="B13" s="6">
        <f>SUBTOTAL(109,MemberOfAssemblyAssemblyDistrict16General[Total Votes by Candidate])</f>
        <v>48213</v>
      </c>
      <c r="C13" s="11">
        <f>MemberOfAssemblyAssemblyDistrict14General[[#This Row],[Part of Nassau County Vote Results]]</f>
        <v>25</v>
      </c>
      <c r="D13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C6D9-9B9D-4A91-931E-25AC2E70F566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179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180</v>
      </c>
      <c r="B3" s="3">
        <v>20602</v>
      </c>
      <c r="C3" s="11">
        <f>MemberOfAssemblyAssemblyDistrict17General[[#This Row],[Part of Nassau County Vote Results]]</f>
        <v>20602</v>
      </c>
      <c r="D3" s="12">
        <f>SUM(MemberOfAssemblyAssemblyDistrict17General[[#This Row],[Total Votes by Party]],C7)</f>
        <v>21047</v>
      </c>
    </row>
    <row r="4" spans="1:4" x14ac:dyDescent="0.2">
      <c r="A4" s="2" t="s">
        <v>181</v>
      </c>
      <c r="B4" s="3">
        <v>23670</v>
      </c>
      <c r="C4" s="11">
        <f>MemberOfAssemblyAssemblyDistrict17General[[#This Row],[Part of Nassau County Vote Results]]</f>
        <v>23670</v>
      </c>
      <c r="D4" s="12">
        <f>SUM(C4:C6,C8:C9)</f>
        <v>26744</v>
      </c>
    </row>
    <row r="5" spans="1:4" x14ac:dyDescent="0.2">
      <c r="A5" s="2" t="s">
        <v>182</v>
      </c>
      <c r="B5" s="3">
        <v>2504</v>
      </c>
      <c r="C5" s="11">
        <f>MemberOfAssemblyAssemblyDistrict17General[[#This Row],[Part of Nassau County Vote Results]]</f>
        <v>2504</v>
      </c>
      <c r="D5" s="13"/>
    </row>
    <row r="6" spans="1:4" x14ac:dyDescent="0.2">
      <c r="A6" s="2" t="s">
        <v>183</v>
      </c>
      <c r="B6" s="3">
        <v>396</v>
      </c>
      <c r="C6" s="11">
        <f>MemberOfAssemblyAssemblyDistrict17General[[#This Row],[Part of Nassau County Vote Results]]</f>
        <v>396</v>
      </c>
      <c r="D6" s="13"/>
    </row>
    <row r="7" spans="1:4" x14ac:dyDescent="0.2">
      <c r="A7" s="2" t="s">
        <v>184</v>
      </c>
      <c r="B7" s="3">
        <v>445</v>
      </c>
      <c r="C7" s="11">
        <f>MemberOfAssemblyAssemblyDistrict17General[[#This Row],[Part of Nassau County Vote Results]]</f>
        <v>445</v>
      </c>
      <c r="D7" s="13"/>
    </row>
    <row r="8" spans="1:4" x14ac:dyDescent="0.2">
      <c r="A8" s="2" t="s">
        <v>185</v>
      </c>
      <c r="B8" s="3">
        <v>75</v>
      </c>
      <c r="C8" s="11">
        <f>MemberOfAssemblyAssemblyDistrict17General[[#This Row],[Part of Nassau County Vote Results]]</f>
        <v>75</v>
      </c>
      <c r="D8" s="13"/>
    </row>
    <row r="9" spans="1:4" x14ac:dyDescent="0.2">
      <c r="A9" s="2" t="s">
        <v>186</v>
      </c>
      <c r="B9" s="3">
        <v>99</v>
      </c>
      <c r="C9" s="11">
        <f>MemberOfAssemblyAssemblyDistrict17General[[#This Row],[Part of Nassau County Vote Results]]</f>
        <v>99</v>
      </c>
      <c r="D9" s="13"/>
    </row>
    <row r="10" spans="1:4" x14ac:dyDescent="0.2">
      <c r="A10" s="4" t="s">
        <v>0</v>
      </c>
      <c r="B10" s="5">
        <v>1738</v>
      </c>
      <c r="C10" s="11">
        <f>MemberOfAssemblyAssemblyDistrict17General[[#This Row],[Part of Nassau County Vote Results]]</f>
        <v>1738</v>
      </c>
      <c r="D10" s="13"/>
    </row>
    <row r="11" spans="1:4" x14ac:dyDescent="0.2">
      <c r="A11" s="4" t="s">
        <v>1</v>
      </c>
      <c r="B11" s="5">
        <v>11</v>
      </c>
      <c r="C11" s="11">
        <f>MemberOfAssemblyAssemblyDistrict17General[[#This Row],[Part of Nassau County Vote Results]]</f>
        <v>11</v>
      </c>
      <c r="D11" s="13"/>
    </row>
    <row r="12" spans="1:4" x14ac:dyDescent="0.2">
      <c r="A12" s="4" t="s">
        <v>2</v>
      </c>
      <c r="B12" s="5">
        <v>18</v>
      </c>
      <c r="C12" s="11">
        <f>MemberOfAssemblyAssemblyDistrict17General[[#This Row],[Part of Nassau County Vote Results]]</f>
        <v>18</v>
      </c>
      <c r="D12" s="13"/>
    </row>
    <row r="13" spans="1:4" hidden="1" x14ac:dyDescent="0.2">
      <c r="A13" s="4" t="s">
        <v>3</v>
      </c>
      <c r="B13" s="6">
        <f>SUBTOTAL(109,MemberOfAssemblyAssemblyDistrict17General[Total Votes by Candidate])</f>
        <v>47791</v>
      </c>
      <c r="C13" s="11">
        <f>MemberOfAssemblyAssemblyDistrict14General[[#This Row],[Part of Nassau County Vote Results]]</f>
        <v>25</v>
      </c>
      <c r="D13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DE6E-0618-4434-BC76-88135526E584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187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188</v>
      </c>
      <c r="B3" s="3">
        <v>29362</v>
      </c>
      <c r="C3" s="11">
        <f>MemberOfAssemblyAssemblyDistrict18General[[#This Row],[Part of Nassau County Vote Results]]</f>
        <v>29362</v>
      </c>
      <c r="D3" s="12">
        <f>SUM(MemberOfAssemblyAssemblyDistrict18General[[#This Row],[Total Votes by Party]],C6:C8)</f>
        <v>29989</v>
      </c>
    </row>
    <row r="4" spans="1:4" x14ac:dyDescent="0.2">
      <c r="A4" s="2" t="s">
        <v>189</v>
      </c>
      <c r="B4" s="3">
        <v>2893</v>
      </c>
      <c r="C4" s="11">
        <f>MemberOfAssemblyAssemblyDistrict18General[[#This Row],[Part of Nassau County Vote Results]]</f>
        <v>2893</v>
      </c>
      <c r="D4" s="12">
        <f>SUM(C4:C5)</f>
        <v>3281</v>
      </c>
    </row>
    <row r="5" spans="1:4" x14ac:dyDescent="0.2">
      <c r="A5" s="2" t="s">
        <v>190</v>
      </c>
      <c r="B5" s="3">
        <v>388</v>
      </c>
      <c r="C5" s="11">
        <f>MemberOfAssemblyAssemblyDistrict18General[[#This Row],[Part of Nassau County Vote Results]]</f>
        <v>388</v>
      </c>
      <c r="D5" s="13"/>
    </row>
    <row r="6" spans="1:4" x14ac:dyDescent="0.2">
      <c r="A6" s="2" t="s">
        <v>191</v>
      </c>
      <c r="B6" s="3">
        <v>379</v>
      </c>
      <c r="C6" s="11">
        <f>MemberOfAssemblyAssemblyDistrict18General[[#This Row],[Part of Nassau County Vote Results]]</f>
        <v>379</v>
      </c>
      <c r="D6" s="13"/>
    </row>
    <row r="7" spans="1:4" x14ac:dyDescent="0.2">
      <c r="A7" s="2" t="s">
        <v>192</v>
      </c>
      <c r="B7" s="3">
        <v>200</v>
      </c>
      <c r="C7" s="11">
        <f>MemberOfAssemblyAssemblyDistrict18General[[#This Row],[Part of Nassau County Vote Results]]</f>
        <v>200</v>
      </c>
      <c r="D7" s="13"/>
    </row>
    <row r="8" spans="1:4" x14ac:dyDescent="0.2">
      <c r="A8" s="2" t="s">
        <v>193</v>
      </c>
      <c r="B8" s="3">
        <v>48</v>
      </c>
      <c r="C8" s="11">
        <f>MemberOfAssemblyAssemblyDistrict18General[[#This Row],[Part of Nassau County Vote Results]]</f>
        <v>48</v>
      </c>
      <c r="D8" s="13"/>
    </row>
    <row r="9" spans="1:4" x14ac:dyDescent="0.2">
      <c r="A9" s="4" t="s">
        <v>0</v>
      </c>
      <c r="B9" s="5">
        <v>1575</v>
      </c>
      <c r="C9" s="11">
        <f>MemberOfAssemblyAssemblyDistrict18General[[#This Row],[Part of Nassau County Vote Results]]</f>
        <v>1575</v>
      </c>
      <c r="D9" s="13"/>
    </row>
    <row r="10" spans="1:4" x14ac:dyDescent="0.2">
      <c r="A10" s="4" t="s">
        <v>1</v>
      </c>
      <c r="B10" s="5">
        <v>101</v>
      </c>
      <c r="C10" s="11">
        <f>MemberOfAssemblyAssemblyDistrict18General[[#This Row],[Part of Nassau County Vote Results]]</f>
        <v>101</v>
      </c>
      <c r="D10" s="13"/>
    </row>
    <row r="11" spans="1:4" x14ac:dyDescent="0.2">
      <c r="A11" s="4" t="s">
        <v>2</v>
      </c>
      <c r="B11" s="5">
        <v>1569</v>
      </c>
      <c r="C11" s="11">
        <f>MemberOfAssemblyAssemblyDistrict18General[[#This Row],[Part of Nassau County Vote Results]]</f>
        <v>1569</v>
      </c>
      <c r="D11" s="13"/>
    </row>
    <row r="12" spans="1:4" hidden="1" x14ac:dyDescent="0.2">
      <c r="A12" s="4" t="s">
        <v>3</v>
      </c>
      <c r="B12" s="6">
        <f>SUBTOTAL(109,MemberOfAssemblyAssemblyDistrict18General[Total Votes by Candidate])</f>
        <v>33270</v>
      </c>
      <c r="C12" s="11">
        <f>MemberOfAssemblyAssemblyDistrict17General[[#This Row],[Part of Nassau County Vote Results]]</f>
        <v>18</v>
      </c>
      <c r="D12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D3028-4C99-4DC6-AAD4-5B8842B9AA71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194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195</v>
      </c>
      <c r="B3" s="3">
        <v>20349</v>
      </c>
      <c r="C3" s="11">
        <f>MemberOfAssemblyAssemblyDistrict19General[[#This Row],[Part of Nassau County Vote Results]]</f>
        <v>20349</v>
      </c>
      <c r="D3" s="12">
        <f>SUM(MemberOfAssemblyAssemblyDistrict19General[[#This Row],[Total Votes by Party]],C6,C8)</f>
        <v>21083</v>
      </c>
    </row>
    <row r="4" spans="1:4" x14ac:dyDescent="0.2">
      <c r="A4" s="2" t="s">
        <v>196</v>
      </c>
      <c r="B4" s="3">
        <v>23362</v>
      </c>
      <c r="C4" s="11">
        <f>MemberOfAssemblyAssemblyDistrict19General[[#This Row],[Part of Nassau County Vote Results]]</f>
        <v>23362</v>
      </c>
      <c r="D4" s="12">
        <f>SUM(C4:C5,C7,C9)</f>
        <v>26266</v>
      </c>
    </row>
    <row r="5" spans="1:4" x14ac:dyDescent="0.2">
      <c r="A5" s="2" t="s">
        <v>197</v>
      </c>
      <c r="B5" s="3">
        <v>2455</v>
      </c>
      <c r="C5" s="11">
        <f>MemberOfAssemblyAssemblyDistrict19General[[#This Row],[Part of Nassau County Vote Results]]</f>
        <v>2455</v>
      </c>
      <c r="D5" s="13"/>
    </row>
    <row r="6" spans="1:4" x14ac:dyDescent="0.2">
      <c r="A6" s="2" t="s">
        <v>198</v>
      </c>
      <c r="B6" s="3">
        <v>456</v>
      </c>
      <c r="C6" s="11">
        <f>MemberOfAssemblyAssemblyDistrict19General[[#This Row],[Part of Nassau County Vote Results]]</f>
        <v>456</v>
      </c>
      <c r="D6" s="13"/>
    </row>
    <row r="7" spans="1:4" x14ac:dyDescent="0.2">
      <c r="A7" s="2" t="s">
        <v>199</v>
      </c>
      <c r="B7" s="3">
        <v>348</v>
      </c>
      <c r="C7" s="11">
        <f>MemberOfAssemblyAssemblyDistrict19General[[#This Row],[Part of Nassau County Vote Results]]</f>
        <v>348</v>
      </c>
      <c r="D7" s="13"/>
    </row>
    <row r="8" spans="1:4" x14ac:dyDescent="0.2">
      <c r="A8" s="2" t="s">
        <v>200</v>
      </c>
      <c r="B8" s="3">
        <v>278</v>
      </c>
      <c r="C8" s="11">
        <f>MemberOfAssemblyAssemblyDistrict19General[[#This Row],[Part of Nassau County Vote Results]]</f>
        <v>278</v>
      </c>
      <c r="D8" s="13"/>
    </row>
    <row r="9" spans="1:4" x14ac:dyDescent="0.2">
      <c r="A9" s="2" t="s">
        <v>201</v>
      </c>
      <c r="B9" s="3">
        <v>101</v>
      </c>
      <c r="C9" s="11">
        <f>MemberOfAssemblyAssemblyDistrict19General[[#This Row],[Part of Nassau County Vote Results]]</f>
        <v>101</v>
      </c>
      <c r="D9" s="13"/>
    </row>
    <row r="10" spans="1:4" x14ac:dyDescent="0.2">
      <c r="A10" s="4" t="s">
        <v>0</v>
      </c>
      <c r="B10" s="5">
        <v>1501</v>
      </c>
      <c r="C10" s="11">
        <f>MemberOfAssemblyAssemblyDistrict19General[[#This Row],[Part of Nassau County Vote Results]]</f>
        <v>1501</v>
      </c>
      <c r="D10" s="13"/>
    </row>
    <row r="11" spans="1:4" x14ac:dyDescent="0.2">
      <c r="A11" s="4" t="s">
        <v>1</v>
      </c>
      <c r="B11" s="5">
        <v>12</v>
      </c>
      <c r="C11" s="11">
        <f>MemberOfAssemblyAssemblyDistrict19General[[#This Row],[Part of Nassau County Vote Results]]</f>
        <v>12</v>
      </c>
      <c r="D11" s="13"/>
    </row>
    <row r="12" spans="1:4" x14ac:dyDescent="0.2">
      <c r="A12" s="4" t="s">
        <v>2</v>
      </c>
      <c r="B12" s="5">
        <v>14</v>
      </c>
      <c r="C12" s="11">
        <f>MemberOfAssemblyAssemblyDistrict19General[[#This Row],[Part of Nassau County Vote Results]]</f>
        <v>14</v>
      </c>
      <c r="D12" s="13"/>
    </row>
    <row r="13" spans="1:4" hidden="1" x14ac:dyDescent="0.2">
      <c r="A13" s="4" t="s">
        <v>3</v>
      </c>
      <c r="B13" s="6">
        <f>SUBTOTAL(109,MemberOfAssemblyAssemblyDistrict19General[Total Votes by Candidate])</f>
        <v>47349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7CEC-9FF0-4C02-9D03-C2654B3154CB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76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77</v>
      </c>
      <c r="B3" s="3">
        <v>21533</v>
      </c>
      <c r="C3" s="11">
        <f>MemberOfAssemblyAssemblyDistrict2General[[#This Row],[Part of Suffolk County Vote Results]]</f>
        <v>21533</v>
      </c>
      <c r="D3" s="12">
        <f>MemberOfAssemblyAssemblyDistrict2General[[#This Row],[Total Votes by Party]]</f>
        <v>21533</v>
      </c>
    </row>
    <row r="4" spans="1:4" x14ac:dyDescent="0.2">
      <c r="A4" s="2" t="s">
        <v>78</v>
      </c>
      <c r="B4" s="3">
        <v>26760</v>
      </c>
      <c r="C4" s="11">
        <f>MemberOfAssemblyAssemblyDistrict2General[[#This Row],[Part of Suffolk County Vote Results]]</f>
        <v>26760</v>
      </c>
      <c r="D4" s="12">
        <f>SUM(C4:C6)</f>
        <v>31242</v>
      </c>
    </row>
    <row r="5" spans="1:4" x14ac:dyDescent="0.2">
      <c r="A5" s="2" t="s">
        <v>79</v>
      </c>
      <c r="B5" s="3">
        <v>3439</v>
      </c>
      <c r="C5" s="11">
        <f>MemberOfAssemblyAssemblyDistrict2General[[#This Row],[Part of Suffolk County Vote Results]]</f>
        <v>3439</v>
      </c>
      <c r="D5" s="13"/>
    </row>
    <row r="6" spans="1:4" x14ac:dyDescent="0.2">
      <c r="A6" s="2" t="s">
        <v>80</v>
      </c>
      <c r="B6" s="3">
        <v>1043</v>
      </c>
      <c r="C6" s="11">
        <f>MemberOfAssemblyAssemblyDistrict2General[[#This Row],[Part of Suffolk County Vote Results]]</f>
        <v>1043</v>
      </c>
      <c r="D6" s="13"/>
    </row>
    <row r="7" spans="1:4" x14ac:dyDescent="0.2">
      <c r="A7" s="4" t="s">
        <v>0</v>
      </c>
      <c r="B7" s="5">
        <v>1884</v>
      </c>
      <c r="C7" s="11">
        <f>MemberOfAssemblyAssemblyDistrict2General[[#This Row],[Part of Suffolk County Vote Results]]</f>
        <v>1884</v>
      </c>
      <c r="D7" s="13"/>
    </row>
    <row r="8" spans="1:4" x14ac:dyDescent="0.2">
      <c r="A8" s="4" t="s">
        <v>1</v>
      </c>
      <c r="B8" s="5">
        <v>10</v>
      </c>
      <c r="C8" s="11">
        <f>MemberOfAssemblyAssemblyDistrict2General[[#This Row],[Part of Suffolk County Vote Results]]</f>
        <v>10</v>
      </c>
      <c r="D8" s="13"/>
    </row>
    <row r="9" spans="1:4" x14ac:dyDescent="0.2">
      <c r="A9" s="4" t="s">
        <v>2</v>
      </c>
      <c r="B9" s="5">
        <v>13</v>
      </c>
      <c r="C9" s="11">
        <f>MemberOfAssemblyAssemblyDistrict2General[[#This Row],[Part of Suffolk County Vote Results]]</f>
        <v>13</v>
      </c>
      <c r="D9" s="13"/>
    </row>
    <row r="10" spans="1:4" hidden="1" x14ac:dyDescent="0.2">
      <c r="A10" s="4" t="s">
        <v>3</v>
      </c>
      <c r="B10" s="6">
        <f>SUBTOTAL(109,MemberOfAssemblyAssemblyDistrict2General[Total Votes by Candidate])</f>
        <v>52775</v>
      </c>
      <c r="C10" s="11">
        <f>MemberOfAssemblyAssemblyDistrict1General[[#This Row],[Part of Suffolk County Vote Results]]</f>
        <v>1649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7AF4-1D11-4C5E-BF8A-4A3A11FF0D06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202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203</v>
      </c>
      <c r="B3" s="3">
        <v>21111</v>
      </c>
      <c r="C3" s="11">
        <f>MemberOfAssemblyAssemblyDistrict20General[[#This Row],[Part of Nassau County Vote Results]]</f>
        <v>21111</v>
      </c>
      <c r="D3" s="12">
        <f>MemberOfAssemblyAssemblyDistrict20General[[#This Row],[Total Votes by Party]]</f>
        <v>21111</v>
      </c>
    </row>
    <row r="4" spans="1:4" x14ac:dyDescent="0.2">
      <c r="A4" s="2" t="s">
        <v>204</v>
      </c>
      <c r="B4" s="3">
        <v>22200</v>
      </c>
      <c r="C4" s="11">
        <f>MemberOfAssemblyAssemblyDistrict20General[[#This Row],[Part of Nassau County Vote Results]]</f>
        <v>22200</v>
      </c>
      <c r="D4" s="12">
        <f>SUM(C4:C6)</f>
        <v>24455</v>
      </c>
    </row>
    <row r="5" spans="1:4" x14ac:dyDescent="0.2">
      <c r="A5" s="2" t="s">
        <v>205</v>
      </c>
      <c r="B5" s="3">
        <v>1755</v>
      </c>
      <c r="C5" s="11">
        <f>MemberOfAssemblyAssemblyDistrict20General[[#This Row],[Part of Nassau County Vote Results]]</f>
        <v>1755</v>
      </c>
      <c r="D5" s="13"/>
    </row>
    <row r="6" spans="1:4" x14ac:dyDescent="0.2">
      <c r="A6" s="2" t="s">
        <v>206</v>
      </c>
      <c r="B6" s="3">
        <v>500</v>
      </c>
      <c r="C6" s="11">
        <f>MemberOfAssemblyAssemblyDistrict20General[[#This Row],[Part of Nassau County Vote Results]]</f>
        <v>500</v>
      </c>
      <c r="D6" s="13"/>
    </row>
    <row r="7" spans="1:4" x14ac:dyDescent="0.2">
      <c r="A7" s="2" t="s">
        <v>207</v>
      </c>
      <c r="B7" s="3">
        <v>372</v>
      </c>
      <c r="C7" s="11">
        <f>MemberOfAssemblyAssemblyDistrict20General[[#This Row],[Part of Nassau County Vote Results]]</f>
        <v>372</v>
      </c>
      <c r="D7" s="12">
        <f>SUM(C7:C8)</f>
        <v>508</v>
      </c>
    </row>
    <row r="8" spans="1:4" x14ac:dyDescent="0.2">
      <c r="A8" s="2" t="s">
        <v>208</v>
      </c>
      <c r="B8" s="3">
        <v>136</v>
      </c>
      <c r="C8" s="11">
        <f>MemberOfAssemblyAssemblyDistrict20General[[#This Row],[Part of Nassau County Vote Results]]</f>
        <v>136</v>
      </c>
      <c r="D8" s="13"/>
    </row>
    <row r="9" spans="1:4" x14ac:dyDescent="0.2">
      <c r="A9" s="4" t="s">
        <v>0</v>
      </c>
      <c r="B9" s="5">
        <v>1361</v>
      </c>
      <c r="C9" s="11">
        <f>MemberOfAssemblyAssemblyDistrict20General[[#This Row],[Part of Nassau County Vote Results]]</f>
        <v>1361</v>
      </c>
      <c r="D9" s="13"/>
    </row>
    <row r="10" spans="1:4" x14ac:dyDescent="0.2">
      <c r="A10" s="4" t="s">
        <v>1</v>
      </c>
      <c r="B10" s="5">
        <v>44</v>
      </c>
      <c r="C10" s="11">
        <f>MemberOfAssemblyAssemblyDistrict20General[[#This Row],[Part of Nassau County Vote Results]]</f>
        <v>44</v>
      </c>
      <c r="D10" s="13"/>
    </row>
    <row r="11" spans="1:4" x14ac:dyDescent="0.2">
      <c r="A11" s="4" t="s">
        <v>2</v>
      </c>
      <c r="B11" s="5">
        <v>12</v>
      </c>
      <c r="C11" s="11">
        <f>MemberOfAssemblyAssemblyDistrict20General[[#This Row],[Part of Nassau County Vote Results]]</f>
        <v>12</v>
      </c>
      <c r="D11" s="13"/>
    </row>
    <row r="12" spans="1:4" hidden="1" x14ac:dyDescent="0.2">
      <c r="A12" s="4" t="s">
        <v>3</v>
      </c>
      <c r="B12" s="6">
        <f>SUBTOTAL(109,MemberOfAssemblyAssemblyDistrict20General[Total Votes by Candidate])</f>
        <v>46074</v>
      </c>
      <c r="C12" s="11">
        <f>MemberOfAssemblyAssemblyDistrict19General[[#This Row],[Part of Nassau County Vote Results]]</f>
        <v>14</v>
      </c>
      <c r="D12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5E4C-B722-40AF-86F1-B5E842F61496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209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210</v>
      </c>
      <c r="B3" s="3">
        <v>26516</v>
      </c>
      <c r="C3" s="11">
        <f>MemberOfAssemblyAssemblyDistrict21General[[#This Row],[Part of Nassau County Vote Results]]</f>
        <v>26516</v>
      </c>
      <c r="D3" s="12">
        <f>SUM(MemberOfAssemblyAssemblyDistrict21General[[#This Row],[Total Votes by Party]],C6,C8:C9)</f>
        <v>27432</v>
      </c>
    </row>
    <row r="4" spans="1:4" x14ac:dyDescent="0.2">
      <c r="A4" s="2" t="s">
        <v>211</v>
      </c>
      <c r="B4" s="3">
        <v>21448</v>
      </c>
      <c r="C4" s="11">
        <f>MemberOfAssemblyAssemblyDistrict21General[[#This Row],[Part of Nassau County Vote Results]]</f>
        <v>21448</v>
      </c>
      <c r="D4" s="12">
        <f>SUM(C4:C5,C7)</f>
        <v>24236</v>
      </c>
    </row>
    <row r="5" spans="1:4" x14ac:dyDescent="0.2">
      <c r="A5" s="2" t="s">
        <v>212</v>
      </c>
      <c r="B5" s="3">
        <v>2289</v>
      </c>
      <c r="C5" s="11">
        <f>MemberOfAssemblyAssemblyDistrict21General[[#This Row],[Part of Nassau County Vote Results]]</f>
        <v>2289</v>
      </c>
      <c r="D5" s="13"/>
    </row>
    <row r="6" spans="1:4" x14ac:dyDescent="0.2">
      <c r="A6" s="2" t="s">
        <v>213</v>
      </c>
      <c r="B6" s="3">
        <v>500</v>
      </c>
      <c r="C6" s="11">
        <f>MemberOfAssemblyAssemblyDistrict21General[[#This Row],[Part of Nassau County Vote Results]]</f>
        <v>500</v>
      </c>
      <c r="D6" s="13"/>
    </row>
    <row r="7" spans="1:4" x14ac:dyDescent="0.2">
      <c r="A7" s="2" t="s">
        <v>214</v>
      </c>
      <c r="B7" s="3">
        <v>499</v>
      </c>
      <c r="C7" s="11">
        <f>MemberOfAssemblyAssemblyDistrict21General[[#This Row],[Part of Nassau County Vote Results]]</f>
        <v>499</v>
      </c>
      <c r="D7" s="13"/>
    </row>
    <row r="8" spans="1:4" x14ac:dyDescent="0.2">
      <c r="A8" s="2" t="s">
        <v>215</v>
      </c>
      <c r="B8" s="3">
        <v>360</v>
      </c>
      <c r="C8" s="11">
        <f>MemberOfAssemblyAssemblyDistrict21General[[#This Row],[Part of Nassau County Vote Results]]</f>
        <v>360</v>
      </c>
      <c r="D8" s="13"/>
    </row>
    <row r="9" spans="1:4" x14ac:dyDescent="0.2">
      <c r="A9" s="2" t="s">
        <v>216</v>
      </c>
      <c r="B9" s="3">
        <v>56</v>
      </c>
      <c r="C9" s="11">
        <f>MemberOfAssemblyAssemblyDistrict21General[[#This Row],[Part of Nassau County Vote Results]]</f>
        <v>56</v>
      </c>
      <c r="D9" s="13"/>
    </row>
    <row r="10" spans="1:4" x14ac:dyDescent="0.2">
      <c r="A10" s="4" t="s">
        <v>0</v>
      </c>
      <c r="B10" s="5">
        <v>1301</v>
      </c>
      <c r="C10" s="11">
        <f>MemberOfAssemblyAssemblyDistrict21General[[#This Row],[Part of Nassau County Vote Results]]</f>
        <v>1301</v>
      </c>
      <c r="D10" s="13"/>
    </row>
    <row r="11" spans="1:4" x14ac:dyDescent="0.2">
      <c r="A11" s="4" t="s">
        <v>1</v>
      </c>
      <c r="B11" s="5">
        <v>25</v>
      </c>
      <c r="C11" s="11">
        <f>MemberOfAssemblyAssemblyDistrict21General[[#This Row],[Part of Nassau County Vote Results]]</f>
        <v>25</v>
      </c>
      <c r="D11" s="13"/>
    </row>
    <row r="12" spans="1:4" x14ac:dyDescent="0.2">
      <c r="A12" s="4" t="s">
        <v>2</v>
      </c>
      <c r="B12" s="5">
        <v>55</v>
      </c>
      <c r="C12" s="11">
        <f>MemberOfAssemblyAssemblyDistrict21General[[#This Row],[Part of Nassau County Vote Results]]</f>
        <v>55</v>
      </c>
      <c r="D12" s="13"/>
    </row>
    <row r="13" spans="1:4" hidden="1" x14ac:dyDescent="0.2">
      <c r="A13" s="4" t="s">
        <v>3</v>
      </c>
      <c r="B13" s="6">
        <f>SUBTOTAL(109,MemberOfAssemblyAssemblyDistrict21General[Total Votes by Candidate])</f>
        <v>51668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6B82-8D3D-48D5-96A0-3F9E54898E6D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217</v>
      </c>
    </row>
    <row r="2" spans="1:4" ht="25.5" x14ac:dyDescent="0.2">
      <c r="A2" s="7" t="s">
        <v>5</v>
      </c>
      <c r="B2" s="8" t="s">
        <v>7</v>
      </c>
      <c r="C2" s="9" t="s">
        <v>869</v>
      </c>
      <c r="D2" s="10" t="s">
        <v>4</v>
      </c>
    </row>
    <row r="3" spans="1:4" x14ac:dyDescent="0.2">
      <c r="A3" s="2" t="s">
        <v>218</v>
      </c>
      <c r="B3" s="3">
        <v>30625</v>
      </c>
      <c r="C3" s="11">
        <f>MemberOfAssemblyAssemblyDistrict22General[[#This Row],[Part of Nassau County Vote Results]]</f>
        <v>30625</v>
      </c>
      <c r="D3" s="12">
        <f>SUM(MemberOfAssemblyAssemblyDistrict22General[[#This Row],[Total Votes by Party]],C6:C9)</f>
        <v>31781</v>
      </c>
    </row>
    <row r="4" spans="1:4" x14ac:dyDescent="0.2">
      <c r="A4" s="2" t="s">
        <v>219</v>
      </c>
      <c r="B4" s="3">
        <v>12377</v>
      </c>
      <c r="C4" s="11">
        <f>MemberOfAssemblyAssemblyDistrict22General[[#This Row],[Part of Nassau County Vote Results]]</f>
        <v>12377</v>
      </c>
      <c r="D4" s="12">
        <f>SUM(C4:C5)</f>
        <v>13727</v>
      </c>
    </row>
    <row r="5" spans="1:4" x14ac:dyDescent="0.2">
      <c r="A5" s="2" t="s">
        <v>220</v>
      </c>
      <c r="B5" s="3">
        <v>1350</v>
      </c>
      <c r="C5" s="11">
        <f>MemberOfAssemblyAssemblyDistrict22General[[#This Row],[Part of Nassau County Vote Results]]</f>
        <v>1350</v>
      </c>
      <c r="D5" s="13"/>
    </row>
    <row r="6" spans="1:4" x14ac:dyDescent="0.2">
      <c r="A6" s="2" t="s">
        <v>221</v>
      </c>
      <c r="B6" s="3">
        <v>506</v>
      </c>
      <c r="C6" s="11">
        <f>MemberOfAssemblyAssemblyDistrict22General[[#This Row],[Part of Nassau County Vote Results]]</f>
        <v>506</v>
      </c>
      <c r="D6" s="13"/>
    </row>
    <row r="7" spans="1:4" x14ac:dyDescent="0.2">
      <c r="A7" s="2" t="s">
        <v>222</v>
      </c>
      <c r="B7" s="3">
        <v>375</v>
      </c>
      <c r="C7" s="11">
        <f>MemberOfAssemblyAssemblyDistrict22General[[#This Row],[Part of Nassau County Vote Results]]</f>
        <v>375</v>
      </c>
      <c r="D7" s="13"/>
    </row>
    <row r="8" spans="1:4" x14ac:dyDescent="0.2">
      <c r="A8" s="2" t="s">
        <v>223</v>
      </c>
      <c r="B8" s="3">
        <v>219</v>
      </c>
      <c r="C8" s="11">
        <f>MemberOfAssemblyAssemblyDistrict22General[[#This Row],[Part of Nassau County Vote Results]]</f>
        <v>219</v>
      </c>
      <c r="D8" s="13"/>
    </row>
    <row r="9" spans="1:4" x14ac:dyDescent="0.2">
      <c r="A9" s="2" t="s">
        <v>224</v>
      </c>
      <c r="B9" s="3">
        <v>56</v>
      </c>
      <c r="C9" s="11">
        <f>MemberOfAssemblyAssemblyDistrict22General[[#This Row],[Part of Nassau County Vote Results]]</f>
        <v>56</v>
      </c>
      <c r="D9" s="13"/>
    </row>
    <row r="10" spans="1:4" x14ac:dyDescent="0.2">
      <c r="A10" s="4" t="s">
        <v>0</v>
      </c>
      <c r="B10" s="5">
        <v>1308</v>
      </c>
      <c r="C10" s="11">
        <f>MemberOfAssemblyAssemblyDistrict22General[[#This Row],[Part of Nassau County Vote Results]]</f>
        <v>1308</v>
      </c>
      <c r="D10" s="13"/>
    </row>
    <row r="11" spans="1:4" x14ac:dyDescent="0.2">
      <c r="A11" s="4" t="s">
        <v>1</v>
      </c>
      <c r="B11" s="5">
        <v>12</v>
      </c>
      <c r="C11" s="11">
        <f>MemberOfAssemblyAssemblyDistrict22General[[#This Row],[Part of Nassau County Vote Results]]</f>
        <v>12</v>
      </c>
      <c r="D11" s="13"/>
    </row>
    <row r="12" spans="1:4" x14ac:dyDescent="0.2">
      <c r="A12" s="4" t="s">
        <v>2</v>
      </c>
      <c r="B12" s="5">
        <v>18</v>
      </c>
      <c r="C12" s="11">
        <f>MemberOfAssemblyAssemblyDistrict22General[[#This Row],[Part of Nassau County Vote Results]]</f>
        <v>18</v>
      </c>
      <c r="D12" s="13"/>
    </row>
    <row r="13" spans="1:4" hidden="1" x14ac:dyDescent="0.2">
      <c r="A13" s="4" t="s">
        <v>3</v>
      </c>
      <c r="B13" s="6">
        <f>SUBTOTAL(109,MemberOfAssemblyAssemblyDistrict22General[Total Votes by Candidate])</f>
        <v>45508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C37E-8A3F-4971-AB21-D49CC43B020E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225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226</v>
      </c>
      <c r="B3" s="3">
        <v>18916</v>
      </c>
      <c r="C3" s="11">
        <f>MemberOfAssemblyAssemblyDistrict23General[[#This Row],[Part of Queens County Vote Results]]</f>
        <v>18916</v>
      </c>
      <c r="D3" s="12">
        <f>SUM(MemberOfAssemblyAssemblyDistrict23General[[#This Row],[Total Votes by Party]],C5:C6)</f>
        <v>20157</v>
      </c>
    </row>
    <row r="4" spans="1:4" x14ac:dyDescent="0.2">
      <c r="A4" s="2" t="s">
        <v>227</v>
      </c>
      <c r="B4" s="3">
        <v>9431</v>
      </c>
      <c r="C4" s="11">
        <f>MemberOfAssemblyAssemblyDistrict23General[[#This Row],[Part of Queens County Vote Results]]</f>
        <v>9431</v>
      </c>
      <c r="D4" s="12">
        <f>MemberOfAssemblyAssemblyDistrict23General[[#This Row],[Total Votes by Party]]</f>
        <v>9431</v>
      </c>
    </row>
    <row r="5" spans="1:4" x14ac:dyDescent="0.2">
      <c r="A5" s="2" t="s">
        <v>228</v>
      </c>
      <c r="B5" s="3">
        <v>729</v>
      </c>
      <c r="C5" s="11">
        <f>MemberOfAssemblyAssemblyDistrict23General[[#This Row],[Part of Queens County Vote Results]]</f>
        <v>729</v>
      </c>
      <c r="D5" s="13"/>
    </row>
    <row r="6" spans="1:4" x14ac:dyDescent="0.2">
      <c r="A6" s="2" t="s">
        <v>229</v>
      </c>
      <c r="B6" s="3">
        <v>512</v>
      </c>
      <c r="C6" s="11">
        <f>MemberOfAssemblyAssemblyDistrict23General[[#This Row],[Part of Queens County Vote Results]]</f>
        <v>512</v>
      </c>
      <c r="D6" s="13"/>
    </row>
    <row r="7" spans="1:4" x14ac:dyDescent="0.2">
      <c r="A7" s="4" t="s">
        <v>0</v>
      </c>
      <c r="B7" s="5">
        <v>1538</v>
      </c>
      <c r="C7" s="11">
        <f>MemberOfAssemblyAssemblyDistrict23General[[#This Row],[Part of Queens County Vote Results]]</f>
        <v>1538</v>
      </c>
      <c r="D7" s="13"/>
    </row>
    <row r="8" spans="1:4" x14ac:dyDescent="0.2">
      <c r="A8" s="4" t="s">
        <v>1</v>
      </c>
      <c r="B8" s="5">
        <v>0</v>
      </c>
      <c r="C8" s="11">
        <f>MemberOfAssemblyAssemblyDistrict23General[[#This Row],[Part of Queens County Vote Results]]</f>
        <v>0</v>
      </c>
      <c r="D8" s="13"/>
    </row>
    <row r="9" spans="1:4" x14ac:dyDescent="0.2">
      <c r="A9" s="4" t="s">
        <v>2</v>
      </c>
      <c r="B9" s="5">
        <v>17</v>
      </c>
      <c r="C9" s="11">
        <f>MemberOfAssemblyAssemblyDistrict23General[[#This Row],[Part of Queens County Vote Results]]</f>
        <v>17</v>
      </c>
      <c r="D9" s="13"/>
    </row>
    <row r="10" spans="1:4" hidden="1" x14ac:dyDescent="0.2">
      <c r="A10" s="4" t="s">
        <v>3</v>
      </c>
      <c r="B10" s="6">
        <f>SUBTOTAL(109,MemberOfAssemblyAssemblyDistrict23General[Total Votes by Candidate])</f>
        <v>29588</v>
      </c>
      <c r="C10" s="11">
        <f>MemberOfAssemblyAssemblyDistrict22General[[#This Row],[Part of Nassau County Vote Results]]</f>
        <v>1308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1964-B37C-43CB-9726-F1D849E754BD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230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231</v>
      </c>
      <c r="B3" s="3">
        <v>22410</v>
      </c>
      <c r="C3" s="11">
        <f>MemberOfAssemblyAssemblyDistrict24General[[#This Row],[Part of Queens County Vote Results]]</f>
        <v>22410</v>
      </c>
      <c r="D3" s="12">
        <f>MemberOfAssemblyAssemblyDistrict24General[[#This Row],[Total Votes by Party]]</f>
        <v>22410</v>
      </c>
    </row>
    <row r="4" spans="1:4" x14ac:dyDescent="0.2">
      <c r="A4" s="4" t="s">
        <v>0</v>
      </c>
      <c r="B4" s="5">
        <v>4536</v>
      </c>
      <c r="C4" s="11">
        <f>MemberOfAssemblyAssemblyDistrict24General[[#This Row],[Part of Queens County Vote Results]]</f>
        <v>4536</v>
      </c>
      <c r="D4" s="13"/>
    </row>
    <row r="5" spans="1:4" x14ac:dyDescent="0.2">
      <c r="A5" s="4" t="s">
        <v>1</v>
      </c>
      <c r="B5" s="5">
        <v>0</v>
      </c>
      <c r="C5" s="11">
        <f>MemberOfAssemblyAssemblyDistrict24General[[#This Row],[Part of Queens County Vote Results]]</f>
        <v>0</v>
      </c>
      <c r="D5" s="13"/>
    </row>
    <row r="6" spans="1:4" x14ac:dyDescent="0.2">
      <c r="A6" s="4" t="s">
        <v>2</v>
      </c>
      <c r="B6" s="5">
        <v>148</v>
      </c>
      <c r="C6" s="11">
        <f>MemberOfAssemblyAssemblyDistrict24General[[#This Row],[Part of Queens County Vote Results]]</f>
        <v>148</v>
      </c>
      <c r="D6" s="13"/>
    </row>
    <row r="7" spans="1:4" hidden="1" x14ac:dyDescent="0.2">
      <c r="A7" s="4" t="s">
        <v>3</v>
      </c>
      <c r="B7" s="6">
        <f>SUBTOTAL(109,MemberOfAssemblyAssemblyDistrict24General[Total Votes by Candidate])</f>
        <v>22410</v>
      </c>
      <c r="C7" s="11">
        <f>MemberOfAssemblyAssemblyDistrict23General[[#This Row],[Part of Queens County Vote Results]]</f>
        <v>1538</v>
      </c>
      <c r="D7" s="13"/>
    </row>
    <row r="8" spans="1:4" x14ac:dyDescent="0.2">
      <c r="B8" s="14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298B-6E4D-4505-AF0B-CEF0D26D5BB8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232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233</v>
      </c>
      <c r="B3" s="3">
        <v>16368</v>
      </c>
      <c r="C3" s="11">
        <f>MemberOfAssemblyAssemblyDistrict25General[[#This Row],[Part of Queens County Vote Results]]</f>
        <v>16368</v>
      </c>
      <c r="D3" s="12">
        <f>SUM(C3:C5)</f>
        <v>18311</v>
      </c>
    </row>
    <row r="4" spans="1:4" x14ac:dyDescent="0.2">
      <c r="A4" s="2" t="s">
        <v>234</v>
      </c>
      <c r="B4" s="3">
        <v>1396</v>
      </c>
      <c r="C4" s="11">
        <f>MemberOfAssemblyAssemblyDistrict25General[[#This Row],[Part of Queens County Vote Results]]</f>
        <v>1396</v>
      </c>
      <c r="D4" s="13"/>
    </row>
    <row r="5" spans="1:4" x14ac:dyDescent="0.2">
      <c r="A5" s="2" t="s">
        <v>235</v>
      </c>
      <c r="B5" s="3">
        <v>547</v>
      </c>
      <c r="C5" s="11">
        <f>MemberOfAssemblyAssemblyDistrict25General[[#This Row],[Part of Queens County Vote Results]]</f>
        <v>547</v>
      </c>
      <c r="D5" s="13"/>
    </row>
    <row r="6" spans="1:4" x14ac:dyDescent="0.2">
      <c r="A6" s="4" t="s">
        <v>0</v>
      </c>
      <c r="B6" s="5">
        <v>5236</v>
      </c>
      <c r="C6" s="11">
        <f>MemberOfAssemblyAssemblyDistrict25General[[#This Row],[Part of Queens County Vote Results]]</f>
        <v>5236</v>
      </c>
      <c r="D6" s="13"/>
    </row>
    <row r="7" spans="1:4" x14ac:dyDescent="0.2">
      <c r="A7" s="4" t="s">
        <v>1</v>
      </c>
      <c r="B7" s="5">
        <v>0</v>
      </c>
      <c r="C7" s="11">
        <f>MemberOfAssemblyAssemblyDistrict25General[[#This Row],[Part of Queens County Vote Results]]</f>
        <v>0</v>
      </c>
      <c r="D7" s="13"/>
    </row>
    <row r="8" spans="1:4" x14ac:dyDescent="0.2">
      <c r="A8" s="4" t="s">
        <v>2</v>
      </c>
      <c r="B8" s="5">
        <v>143</v>
      </c>
      <c r="C8" s="11">
        <f>MemberOfAssemblyAssemblyDistrict25General[[#This Row],[Part of Queens County Vote Results]]</f>
        <v>143</v>
      </c>
      <c r="D8" s="13"/>
    </row>
    <row r="9" spans="1:4" hidden="1" x14ac:dyDescent="0.2">
      <c r="A9" s="4" t="s">
        <v>3</v>
      </c>
      <c r="B9" s="6">
        <f>SUBTOTAL(109,MemberOfAssemblyAssemblyDistrict25General[Total Votes by Candidate])</f>
        <v>18311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80A3-B093-4946-8F3D-523ADED36CEC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236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237</v>
      </c>
      <c r="B3" s="3">
        <v>20325</v>
      </c>
      <c r="C3" s="11">
        <f>MemberOfAssemblyAssemblyDistrict26General[[#This Row],[Part of Queens County Vote Results]]</f>
        <v>20325</v>
      </c>
      <c r="D3" s="12">
        <f>SUM(MemberOfAssemblyAssemblyDistrict26General[[#This Row],[Total Votes by Party]],C6:C8)</f>
        <v>21860</v>
      </c>
    </row>
    <row r="4" spans="1:4" x14ac:dyDescent="0.2">
      <c r="A4" s="2" t="s">
        <v>238</v>
      </c>
      <c r="B4" s="3">
        <v>10495</v>
      </c>
      <c r="C4" s="11">
        <f>MemberOfAssemblyAssemblyDistrict26General[[#This Row],[Part of Queens County Vote Results]]</f>
        <v>10495</v>
      </c>
      <c r="D4" s="12">
        <f>SUM(C4:C5,C9)</f>
        <v>11631</v>
      </c>
    </row>
    <row r="5" spans="1:4" x14ac:dyDescent="0.2">
      <c r="A5" s="2" t="s">
        <v>239</v>
      </c>
      <c r="B5" s="3">
        <v>1055</v>
      </c>
      <c r="C5" s="11">
        <f>MemberOfAssemblyAssemblyDistrict26General[[#This Row],[Part of Queens County Vote Results]]</f>
        <v>1055</v>
      </c>
      <c r="D5" s="13"/>
    </row>
    <row r="6" spans="1:4" x14ac:dyDescent="0.2">
      <c r="A6" s="2" t="s">
        <v>240</v>
      </c>
      <c r="B6" s="3">
        <v>656</v>
      </c>
      <c r="C6" s="11">
        <f>MemberOfAssemblyAssemblyDistrict26General[[#This Row],[Part of Queens County Vote Results]]</f>
        <v>656</v>
      </c>
      <c r="D6" s="13"/>
    </row>
    <row r="7" spans="1:4" x14ac:dyDescent="0.2">
      <c r="A7" s="2" t="s">
        <v>241</v>
      </c>
      <c r="B7" s="3">
        <v>727</v>
      </c>
      <c r="C7" s="11">
        <f>MemberOfAssemblyAssemblyDistrict26General[[#This Row],[Part of Queens County Vote Results]]</f>
        <v>727</v>
      </c>
      <c r="D7" s="13"/>
    </row>
    <row r="8" spans="1:4" x14ac:dyDescent="0.2">
      <c r="A8" s="2" t="s">
        <v>242</v>
      </c>
      <c r="B8" s="3">
        <v>152</v>
      </c>
      <c r="C8" s="11">
        <f>MemberOfAssemblyAssemblyDistrict26General[[#This Row],[Part of Queens County Vote Results]]</f>
        <v>152</v>
      </c>
      <c r="D8" s="13"/>
    </row>
    <row r="9" spans="1:4" x14ac:dyDescent="0.2">
      <c r="A9" s="2" t="s">
        <v>243</v>
      </c>
      <c r="B9" s="3">
        <v>81</v>
      </c>
      <c r="C9" s="11">
        <f>MemberOfAssemblyAssemblyDistrict26General[[#This Row],[Part of Queens County Vote Results]]</f>
        <v>81</v>
      </c>
      <c r="D9" s="13"/>
    </row>
    <row r="10" spans="1:4" x14ac:dyDescent="0.2">
      <c r="A10" s="4" t="s">
        <v>0</v>
      </c>
      <c r="B10" s="5">
        <v>1749</v>
      </c>
      <c r="C10" s="11">
        <f>MemberOfAssemblyAssemblyDistrict26General[[#This Row],[Part of Queens County Vote Results]]</f>
        <v>1749</v>
      </c>
      <c r="D10" s="13"/>
    </row>
    <row r="11" spans="1:4" x14ac:dyDescent="0.2">
      <c r="A11" s="4" t="s">
        <v>1</v>
      </c>
      <c r="B11" s="5">
        <v>0</v>
      </c>
      <c r="C11" s="11">
        <f>MemberOfAssemblyAssemblyDistrict26General[[#This Row],[Part of Queens County Vote Results]]</f>
        <v>0</v>
      </c>
      <c r="D11" s="13"/>
    </row>
    <row r="12" spans="1:4" x14ac:dyDescent="0.2">
      <c r="A12" s="4" t="s">
        <v>2</v>
      </c>
      <c r="B12" s="5">
        <v>18</v>
      </c>
      <c r="C12" s="11">
        <f>MemberOfAssemblyAssemblyDistrict26General[[#This Row],[Part of Queens County Vote Results]]</f>
        <v>18</v>
      </c>
      <c r="D12" s="13"/>
    </row>
    <row r="13" spans="1:4" hidden="1" x14ac:dyDescent="0.2">
      <c r="A13" s="4" t="s">
        <v>3</v>
      </c>
      <c r="B13" s="6">
        <f>SUBTOTAL(109,MemberOfAssemblyAssemblyDistrict26General[Total Votes by Candidate])</f>
        <v>33491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9CE1-0F40-429D-851D-DC7BD2196071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244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245</v>
      </c>
      <c r="B3" s="3">
        <v>19305</v>
      </c>
      <c r="C3" s="11">
        <f>MemberOfAssemblyAssemblyDistrict27General[[#This Row],[Part of Queens County Vote Results]]</f>
        <v>19305</v>
      </c>
      <c r="D3" s="12">
        <f>SUM(C3:C4)</f>
        <v>21099</v>
      </c>
    </row>
    <row r="4" spans="1:4" x14ac:dyDescent="0.2">
      <c r="A4" s="2" t="s">
        <v>246</v>
      </c>
      <c r="B4" s="3">
        <v>1794</v>
      </c>
      <c r="C4" s="11">
        <f>MemberOfAssemblyAssemblyDistrict27General[[#This Row],[Part of Queens County Vote Results]]</f>
        <v>1794</v>
      </c>
      <c r="D4" s="13"/>
    </row>
    <row r="5" spans="1:4" x14ac:dyDescent="0.2">
      <c r="A5" s="4" t="s">
        <v>0</v>
      </c>
      <c r="B5" s="5">
        <v>5357</v>
      </c>
      <c r="C5" s="11">
        <f>MemberOfAssemblyAssemblyDistrict27General[[#This Row],[Part of Queens County Vote Results]]</f>
        <v>5357</v>
      </c>
      <c r="D5" s="13"/>
    </row>
    <row r="6" spans="1:4" x14ac:dyDescent="0.2">
      <c r="A6" s="4" t="s">
        <v>1</v>
      </c>
      <c r="B6" s="5">
        <v>0</v>
      </c>
      <c r="C6" s="11">
        <f>MemberOfAssemblyAssemblyDistrict27General[[#This Row],[Part of Queens County Vote Results]]</f>
        <v>0</v>
      </c>
      <c r="D6" s="13"/>
    </row>
    <row r="7" spans="1:4" x14ac:dyDescent="0.2">
      <c r="A7" s="4" t="s">
        <v>2</v>
      </c>
      <c r="B7" s="5">
        <v>162</v>
      </c>
      <c r="C7" s="11">
        <f>MemberOfAssemblyAssemblyDistrict27General[[#This Row],[Part of Queens County Vote Results]]</f>
        <v>162</v>
      </c>
      <c r="D7" s="13"/>
    </row>
    <row r="8" spans="1:4" hidden="1" x14ac:dyDescent="0.2">
      <c r="A8" s="4" t="s">
        <v>3</v>
      </c>
      <c r="B8" s="6">
        <f>SUBTOTAL(109,MemberOfAssemblyAssemblyDistrict27General[Total Votes by Candidate])</f>
        <v>21099</v>
      </c>
      <c r="C8" s="11">
        <f>MemberOfAssemblyAssemblyDistrict26General[[#This Row],[Part of Queens County Vote Results]]</f>
        <v>152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E8F7E-4791-425D-9015-5AF0CC7D1B79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247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248</v>
      </c>
      <c r="B3" s="3">
        <v>22374</v>
      </c>
      <c r="C3" s="11">
        <f>MemberOfAssemblyAssemblyDistrict28General[[#This Row],[Part of Queens County Vote Results]]</f>
        <v>22374</v>
      </c>
      <c r="D3" s="12">
        <f>SUM(MemberOfAssemblyAssemblyDistrict28General[[#This Row],[Total Votes by Party]],C5)</f>
        <v>23702</v>
      </c>
    </row>
    <row r="4" spans="1:4" x14ac:dyDescent="0.2">
      <c r="A4" s="2" t="s">
        <v>249</v>
      </c>
      <c r="B4" s="3">
        <v>8441</v>
      </c>
      <c r="C4" s="11">
        <f>MemberOfAssemblyAssemblyDistrict28General[[#This Row],[Part of Queens County Vote Results]]</f>
        <v>8441</v>
      </c>
      <c r="D4" s="12">
        <f>SUM(MemberOfAssemblyAssemblyDistrict28General[[#This Row],[Total Votes by Party]],C6:C7)</f>
        <v>8688</v>
      </c>
    </row>
    <row r="5" spans="1:4" x14ac:dyDescent="0.2">
      <c r="A5" s="2" t="s">
        <v>250</v>
      </c>
      <c r="B5" s="3">
        <v>1328</v>
      </c>
      <c r="C5" s="11">
        <f>MemberOfAssemblyAssemblyDistrict28General[[#This Row],[Part of Queens County Vote Results]]</f>
        <v>1328</v>
      </c>
      <c r="D5" s="13"/>
    </row>
    <row r="6" spans="1:4" x14ac:dyDescent="0.2">
      <c r="A6" s="2" t="s">
        <v>251</v>
      </c>
      <c r="B6" s="3">
        <v>141</v>
      </c>
      <c r="C6" s="11">
        <f>MemberOfAssemblyAssemblyDistrict28General[[#This Row],[Part of Queens County Vote Results]]</f>
        <v>141</v>
      </c>
      <c r="D6" s="13"/>
    </row>
    <row r="7" spans="1:4" x14ac:dyDescent="0.2">
      <c r="A7" s="2" t="s">
        <v>252</v>
      </c>
      <c r="B7" s="3">
        <v>106</v>
      </c>
      <c r="C7" s="11">
        <f>MemberOfAssemblyAssemblyDistrict28General[[#This Row],[Part of Queens County Vote Results]]</f>
        <v>106</v>
      </c>
      <c r="D7" s="13"/>
    </row>
    <row r="8" spans="1:4" x14ac:dyDescent="0.2">
      <c r="A8" s="4" t="s">
        <v>0</v>
      </c>
      <c r="B8" s="5">
        <v>1442</v>
      </c>
      <c r="C8" s="11">
        <f>MemberOfAssemblyAssemblyDistrict28General[[#This Row],[Part of Queens County Vote Results]]</f>
        <v>1442</v>
      </c>
      <c r="D8" s="13"/>
    </row>
    <row r="9" spans="1:4" x14ac:dyDescent="0.2">
      <c r="A9" s="4" t="s">
        <v>1</v>
      </c>
      <c r="B9" s="5">
        <v>0</v>
      </c>
      <c r="C9" s="11">
        <f>MemberOfAssemblyAssemblyDistrict28General[[#This Row],[Part of Queens County Vote Results]]</f>
        <v>0</v>
      </c>
      <c r="D9" s="13"/>
    </row>
    <row r="10" spans="1:4" x14ac:dyDescent="0.2">
      <c r="A10" s="4" t="s">
        <v>2</v>
      </c>
      <c r="B10" s="5">
        <v>51</v>
      </c>
      <c r="C10" s="11">
        <f>MemberOfAssemblyAssemblyDistrict28General[[#This Row],[Part of Queens County Vote Results]]</f>
        <v>51</v>
      </c>
      <c r="D10" s="13"/>
    </row>
    <row r="11" spans="1:4" hidden="1" x14ac:dyDescent="0.2">
      <c r="A11" s="4" t="s">
        <v>3</v>
      </c>
      <c r="B11" s="6">
        <f>SUBTOTAL(109,MemberOfAssemblyAssemblyDistrict28General[Total Votes by Candidate])</f>
        <v>32390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F058-F3FD-41E6-A95C-5351E1A86B0E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253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254</v>
      </c>
      <c r="B3" s="3">
        <v>32352</v>
      </c>
      <c r="C3" s="11">
        <f>MemberOfAssemblyAssemblyDistrict29General[[#This Row],[Part of Queens County Vote Results]]</f>
        <v>32352</v>
      </c>
      <c r="D3" s="12">
        <f>SUM(C3:C4)</f>
        <v>32937</v>
      </c>
    </row>
    <row r="4" spans="1:4" x14ac:dyDescent="0.2">
      <c r="A4" s="2" t="s">
        <v>255</v>
      </c>
      <c r="B4" s="3">
        <v>585</v>
      </c>
      <c r="C4" s="11">
        <f>MemberOfAssemblyAssemblyDistrict29General[[#This Row],[Part of Queens County Vote Results]]</f>
        <v>585</v>
      </c>
      <c r="D4" s="13"/>
    </row>
    <row r="5" spans="1:4" x14ac:dyDescent="0.2">
      <c r="A5" s="4" t="s">
        <v>0</v>
      </c>
      <c r="B5" s="5">
        <v>2252</v>
      </c>
      <c r="C5" s="11">
        <f>MemberOfAssemblyAssemblyDistrict29General[[#This Row],[Part of Queens County Vote Results]]</f>
        <v>2252</v>
      </c>
      <c r="D5" s="13"/>
    </row>
    <row r="6" spans="1:4" x14ac:dyDescent="0.2">
      <c r="A6" s="4" t="s">
        <v>1</v>
      </c>
      <c r="B6" s="5">
        <v>0</v>
      </c>
      <c r="C6" s="11">
        <f>MemberOfAssemblyAssemblyDistrict29General[[#This Row],[Part of Queens County Vote Results]]</f>
        <v>0</v>
      </c>
      <c r="D6" s="13"/>
    </row>
    <row r="7" spans="1:4" x14ac:dyDescent="0.2">
      <c r="A7" s="4" t="s">
        <v>2</v>
      </c>
      <c r="B7" s="5">
        <v>36</v>
      </c>
      <c r="C7" s="11">
        <f>MemberOfAssemblyAssemblyDistrict29General[[#This Row],[Part of Queens County Vote Results]]</f>
        <v>36</v>
      </c>
      <c r="D7" s="13"/>
    </row>
    <row r="8" spans="1:4" hidden="1" x14ac:dyDescent="0.2">
      <c r="A8" s="4" t="s">
        <v>3</v>
      </c>
      <c r="B8" s="6">
        <f>SUBTOTAL(109,MemberOfAssemblyAssemblyDistrict29General[Total Votes by Candidate])</f>
        <v>32937</v>
      </c>
      <c r="C8" s="11">
        <f>MemberOfAssemblyAssemblyDistrict28General[[#This Row],[Part of Queens County Vote Results]]</f>
        <v>1442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9E58-8EEA-4988-92B5-D5B6561FDBD7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81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82</v>
      </c>
      <c r="B3" s="3">
        <v>17822</v>
      </c>
      <c r="C3" s="11">
        <f>MemberOfAssemblyAssemblyDistrict3General[[#This Row],[Part of Suffolk County Vote Results]]</f>
        <v>17822</v>
      </c>
      <c r="D3" s="12">
        <f>MemberOfAssemblyAssemblyDistrict3General[[#This Row],[Total Votes by Party]]</f>
        <v>17822</v>
      </c>
    </row>
    <row r="4" spans="1:4" x14ac:dyDescent="0.2">
      <c r="A4" s="2" t="s">
        <v>83</v>
      </c>
      <c r="B4" s="3">
        <v>18068</v>
      </c>
      <c r="C4" s="11">
        <f>MemberOfAssemblyAssemblyDistrict3General[[#This Row],[Part of Suffolk County Vote Results]]</f>
        <v>18068</v>
      </c>
      <c r="D4" s="12">
        <f>SUM(C4:C7)</f>
        <v>20916</v>
      </c>
    </row>
    <row r="5" spans="1:4" x14ac:dyDescent="0.2">
      <c r="A5" s="2" t="s">
        <v>84</v>
      </c>
      <c r="B5" s="3">
        <v>2099</v>
      </c>
      <c r="C5" s="11">
        <f>MemberOfAssemblyAssemblyDistrict3General[[#This Row],[Part of Suffolk County Vote Results]]</f>
        <v>2099</v>
      </c>
      <c r="D5" s="13"/>
    </row>
    <row r="6" spans="1:4" x14ac:dyDescent="0.2">
      <c r="A6" s="2" t="s">
        <v>85</v>
      </c>
      <c r="B6" s="3">
        <v>645</v>
      </c>
      <c r="C6" s="11">
        <f>MemberOfAssemblyAssemblyDistrict3General[[#This Row],[Part of Suffolk County Vote Results]]</f>
        <v>645</v>
      </c>
      <c r="D6" s="13"/>
    </row>
    <row r="7" spans="1:4" x14ac:dyDescent="0.2">
      <c r="A7" s="2" t="s">
        <v>86</v>
      </c>
      <c r="B7" s="3">
        <v>104</v>
      </c>
      <c r="C7" s="11">
        <f>MemberOfAssemblyAssemblyDistrict3General[[#This Row],[Part of Suffolk County Vote Results]]</f>
        <v>104</v>
      </c>
      <c r="D7" s="13"/>
    </row>
    <row r="8" spans="1:4" x14ac:dyDescent="0.2">
      <c r="A8" s="4" t="s">
        <v>0</v>
      </c>
      <c r="B8" s="5">
        <v>1988</v>
      </c>
      <c r="C8" s="11">
        <f>MemberOfAssemblyAssemblyDistrict3General[[#This Row],[Part of Suffolk County Vote Results]]</f>
        <v>1988</v>
      </c>
      <c r="D8" s="13"/>
    </row>
    <row r="9" spans="1:4" x14ac:dyDescent="0.2">
      <c r="A9" s="4" t="s">
        <v>1</v>
      </c>
      <c r="B9" s="5">
        <v>12</v>
      </c>
      <c r="C9" s="11">
        <f>MemberOfAssemblyAssemblyDistrict3General[[#This Row],[Part of Suffolk County Vote Results]]</f>
        <v>12</v>
      </c>
      <c r="D9" s="13"/>
    </row>
    <row r="10" spans="1:4" x14ac:dyDescent="0.2">
      <c r="A10" s="4" t="s">
        <v>2</v>
      </c>
      <c r="B10" s="5">
        <v>8</v>
      </c>
      <c r="C10" s="11">
        <f>MemberOfAssemblyAssemblyDistrict3General[[#This Row],[Part of Suffolk County Vote Results]]</f>
        <v>8</v>
      </c>
      <c r="D10" s="13"/>
    </row>
    <row r="11" spans="1:4" hidden="1" x14ac:dyDescent="0.2">
      <c r="A11" s="4" t="s">
        <v>3</v>
      </c>
      <c r="B11" s="6">
        <f>SUBTOTAL(109,MemberOfAssemblyAssemblyDistrict3General[Total Votes by Candidate])</f>
        <v>38738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67E4-9FA3-4AD0-851E-1DDFCB05ED95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256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257</v>
      </c>
      <c r="B3" s="3">
        <v>21082</v>
      </c>
      <c r="C3" s="11">
        <f>MemberOfAssemblyAssemblyDistrict30General[[#This Row],[Part of Queens County Vote Results]]</f>
        <v>21082</v>
      </c>
      <c r="D3" s="12">
        <f>MemberOfAssemblyAssemblyDistrict30General[[#This Row],[Total Votes by Party]]</f>
        <v>21082</v>
      </c>
    </row>
    <row r="4" spans="1:4" x14ac:dyDescent="0.2">
      <c r="A4" s="2" t="s">
        <v>258</v>
      </c>
      <c r="B4" s="3">
        <v>5828</v>
      </c>
      <c r="C4" s="11">
        <f>MemberOfAssemblyAssemblyDistrict30General[[#This Row],[Part of Queens County Vote Results]]</f>
        <v>5828</v>
      </c>
      <c r="D4" s="12">
        <f>SUM(MemberOfAssemblyAssemblyDistrict30General[[#This Row],[Total Votes by Party]],C5,C7)</f>
        <v>6644</v>
      </c>
    </row>
    <row r="5" spans="1:4" x14ac:dyDescent="0.2">
      <c r="A5" s="2" t="s">
        <v>260</v>
      </c>
      <c r="B5" s="3">
        <v>661</v>
      </c>
      <c r="C5" s="11">
        <f>MemberOfAssemblyAssemblyDistrict30General[[#This Row],[Part of Queens County Vote Results]]</f>
        <v>661</v>
      </c>
      <c r="D5" s="13"/>
    </row>
    <row r="6" spans="1:4" x14ac:dyDescent="0.2">
      <c r="A6" s="2" t="s">
        <v>259</v>
      </c>
      <c r="B6" s="3">
        <v>0</v>
      </c>
      <c r="C6" s="11">
        <f>MemberOfAssemblyAssemblyDistrict30General[[#This Row],[Part of Queens County Vote Results]]</f>
        <v>0</v>
      </c>
      <c r="D6" s="12">
        <f>MemberOfAssemblyAssemblyDistrict30General[[#This Row],[Total Votes by Party]]</f>
        <v>0</v>
      </c>
    </row>
    <row r="7" spans="1:4" x14ac:dyDescent="0.2">
      <c r="A7" s="2" t="s">
        <v>261</v>
      </c>
      <c r="B7" s="3">
        <v>155</v>
      </c>
      <c r="C7" s="11">
        <f>MemberOfAssemblyAssemblyDistrict30General[[#This Row],[Part of Queens County Vote Results]]</f>
        <v>155</v>
      </c>
      <c r="D7" s="13"/>
    </row>
    <row r="8" spans="1:4" x14ac:dyDescent="0.2">
      <c r="A8" s="4" t="s">
        <v>0</v>
      </c>
      <c r="B8" s="5">
        <v>1433</v>
      </c>
      <c r="C8" s="11">
        <f>MemberOfAssemblyAssemblyDistrict30General[[#This Row],[Part of Queens County Vote Results]]</f>
        <v>1433</v>
      </c>
      <c r="D8" s="13"/>
    </row>
    <row r="9" spans="1:4" x14ac:dyDescent="0.2">
      <c r="A9" s="4" t="s">
        <v>1</v>
      </c>
      <c r="B9" s="5">
        <v>0</v>
      </c>
      <c r="C9" s="11">
        <f>MemberOfAssemblyAssemblyDistrict30General[[#This Row],[Part of Queens County Vote Results]]</f>
        <v>0</v>
      </c>
      <c r="D9" s="13"/>
    </row>
    <row r="10" spans="1:4" x14ac:dyDescent="0.2">
      <c r="A10" s="4" t="s">
        <v>2</v>
      </c>
      <c r="B10" s="5">
        <v>53</v>
      </c>
      <c r="C10" s="11">
        <f>MemberOfAssemblyAssemblyDistrict30General[[#This Row],[Part of Queens County Vote Results]]</f>
        <v>53</v>
      </c>
      <c r="D10" s="13"/>
    </row>
    <row r="11" spans="1:4" hidden="1" x14ac:dyDescent="0.2">
      <c r="A11" s="4" t="s">
        <v>3</v>
      </c>
      <c r="B11" s="6">
        <f>SUBTOTAL(109,MemberOfAssemblyAssemblyDistrict30General[Total Votes by Candidate])</f>
        <v>27726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984D-B7C5-47C1-8B87-A133ACFA42C3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262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263</v>
      </c>
      <c r="B3" s="3">
        <v>22738</v>
      </c>
      <c r="C3" s="11">
        <f>MemberOfAssemblyAssemblyDistrict31General[[#This Row],[Part of Queens County Vote Results]]</f>
        <v>22738</v>
      </c>
      <c r="D3" s="12">
        <f>SUM(C3:C4)</f>
        <v>23301</v>
      </c>
    </row>
    <row r="4" spans="1:4" x14ac:dyDescent="0.2">
      <c r="A4" s="2" t="s">
        <v>264</v>
      </c>
      <c r="B4" s="3">
        <v>563</v>
      </c>
      <c r="C4" s="11">
        <f>MemberOfAssemblyAssemblyDistrict31General[[#This Row],[Part of Queens County Vote Results]]</f>
        <v>563</v>
      </c>
      <c r="D4" s="13"/>
    </row>
    <row r="5" spans="1:4" x14ac:dyDescent="0.2">
      <c r="A5" s="4" t="s">
        <v>0</v>
      </c>
      <c r="B5" s="5">
        <v>2376</v>
      </c>
      <c r="C5" s="11">
        <f>MemberOfAssemblyAssemblyDistrict31General[[#This Row],[Part of Queens County Vote Results]]</f>
        <v>2376</v>
      </c>
      <c r="D5" s="13"/>
    </row>
    <row r="6" spans="1:4" x14ac:dyDescent="0.2">
      <c r="A6" s="4" t="s">
        <v>1</v>
      </c>
      <c r="B6" s="5">
        <v>0</v>
      </c>
      <c r="C6" s="11">
        <f>MemberOfAssemblyAssemblyDistrict31General[[#This Row],[Part of Queens County Vote Results]]</f>
        <v>0</v>
      </c>
      <c r="D6" s="13"/>
    </row>
    <row r="7" spans="1:4" x14ac:dyDescent="0.2">
      <c r="A7" s="4" t="s">
        <v>2</v>
      </c>
      <c r="B7" s="5">
        <v>82</v>
      </c>
      <c r="C7" s="11">
        <f>MemberOfAssemblyAssemblyDistrict31General[[#This Row],[Part of Queens County Vote Results]]</f>
        <v>82</v>
      </c>
      <c r="D7" s="13"/>
    </row>
    <row r="8" spans="1:4" hidden="1" x14ac:dyDescent="0.2">
      <c r="A8" s="4" t="s">
        <v>3</v>
      </c>
      <c r="B8" s="6">
        <f>SUBTOTAL(109,MemberOfAssemblyAssemblyDistrict31General[Total Votes by Candidate])</f>
        <v>23301</v>
      </c>
      <c r="C8" s="11">
        <f>MemberOfAssemblyAssemblyDistrict30General[[#This Row],[Part of Queens County Vote Results]]</f>
        <v>1433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3BFE-D1C9-412C-8C49-77298E4D961C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265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266</v>
      </c>
      <c r="B3" s="3">
        <v>29991</v>
      </c>
      <c r="C3" s="11">
        <f>MemberOfAssemblyAssemblyDistrict32General[[#This Row],[Part of Queens County Vote Results]]</f>
        <v>29991</v>
      </c>
      <c r="D3" s="12">
        <f>MemberOfAssemblyAssemblyDistrict32General[[#This Row],[Total Votes by Party]]</f>
        <v>29991</v>
      </c>
    </row>
    <row r="4" spans="1:4" x14ac:dyDescent="0.2">
      <c r="A4" s="4" t="s">
        <v>0</v>
      </c>
      <c r="B4" s="5">
        <v>2111</v>
      </c>
      <c r="C4" s="11">
        <f>MemberOfAssemblyAssemblyDistrict32General[[#This Row],[Part of Queens County Vote Results]]</f>
        <v>2111</v>
      </c>
      <c r="D4" s="13"/>
    </row>
    <row r="5" spans="1:4" x14ac:dyDescent="0.2">
      <c r="A5" s="4" t="s">
        <v>1</v>
      </c>
      <c r="B5" s="5">
        <v>0</v>
      </c>
      <c r="C5" s="11">
        <f>MemberOfAssemblyAssemblyDistrict32General[[#This Row],[Part of Queens County Vote Results]]</f>
        <v>0</v>
      </c>
      <c r="D5" s="13"/>
    </row>
    <row r="6" spans="1:4" x14ac:dyDescent="0.2">
      <c r="A6" s="4" t="s">
        <v>2</v>
      </c>
      <c r="B6" s="5">
        <v>52</v>
      </c>
      <c r="C6" s="11">
        <f>MemberOfAssemblyAssemblyDistrict32General[[#This Row],[Part of Queens County Vote Results]]</f>
        <v>52</v>
      </c>
      <c r="D6" s="13"/>
    </row>
    <row r="7" spans="1:4" hidden="1" x14ac:dyDescent="0.2">
      <c r="A7" s="4" t="s">
        <v>3</v>
      </c>
      <c r="B7" s="6">
        <f>SUBTOTAL(109,MemberOfAssemblyAssemblyDistrict32General[Total Votes by Candidate])</f>
        <v>29991</v>
      </c>
      <c r="C7" s="11">
        <f>MemberOfAssemblyAssemblyDistrict31General[[#This Row],[Part of Queens County Vote Results]]</f>
        <v>82</v>
      </c>
      <c r="D7" s="13"/>
    </row>
    <row r="8" spans="1:4" x14ac:dyDescent="0.2">
      <c r="B8" s="14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3FF8-79DC-4C9B-BAD7-F496B3D6C509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267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268</v>
      </c>
      <c r="B3" s="3">
        <v>32009</v>
      </c>
      <c r="C3" s="11">
        <f>MemberOfAssemblyAssemblyDistrict33General[[#This Row],[Part of Queens County Vote Results]]</f>
        <v>32009</v>
      </c>
      <c r="D3" s="12">
        <f>SUM(MemberOfAssemblyAssemblyDistrict33General[[#This Row],[Total Votes by Party]],C6)</f>
        <v>32658</v>
      </c>
    </row>
    <row r="4" spans="1:4" x14ac:dyDescent="0.2">
      <c r="A4" s="2" t="s">
        <v>269</v>
      </c>
      <c r="B4" s="3">
        <v>2527</v>
      </c>
      <c r="C4" s="11">
        <f>MemberOfAssemblyAssemblyDistrict33General[[#This Row],[Part of Queens County Vote Results]]</f>
        <v>2527</v>
      </c>
      <c r="D4" s="12">
        <f>SUM(C4:C5,C7)</f>
        <v>2965</v>
      </c>
    </row>
    <row r="5" spans="1:4" x14ac:dyDescent="0.2">
      <c r="A5" s="2" t="s">
        <v>270</v>
      </c>
      <c r="B5" s="3">
        <v>353</v>
      </c>
      <c r="C5" s="11">
        <f>MemberOfAssemblyAssemblyDistrict33General[[#This Row],[Part of Queens County Vote Results]]</f>
        <v>353</v>
      </c>
      <c r="D5" s="13"/>
    </row>
    <row r="6" spans="1:4" x14ac:dyDescent="0.2">
      <c r="A6" s="2" t="s">
        <v>271</v>
      </c>
      <c r="B6" s="3">
        <v>649</v>
      </c>
      <c r="C6" s="11">
        <f>MemberOfAssemblyAssemblyDistrict33General[[#This Row],[Part of Queens County Vote Results]]</f>
        <v>649</v>
      </c>
      <c r="D6" s="13"/>
    </row>
    <row r="7" spans="1:4" x14ac:dyDescent="0.2">
      <c r="A7" s="2" t="s">
        <v>272</v>
      </c>
      <c r="B7" s="3">
        <v>85</v>
      </c>
      <c r="C7" s="11">
        <f>MemberOfAssemblyAssemblyDistrict33General[[#This Row],[Part of Queens County Vote Results]]</f>
        <v>85</v>
      </c>
      <c r="D7" s="13"/>
    </row>
    <row r="8" spans="1:4" x14ac:dyDescent="0.2">
      <c r="A8" s="4" t="s">
        <v>0</v>
      </c>
      <c r="B8" s="5">
        <v>1539</v>
      </c>
      <c r="C8" s="11">
        <f>MemberOfAssemblyAssemblyDistrict33General[[#This Row],[Part of Queens County Vote Results]]</f>
        <v>1539</v>
      </c>
      <c r="D8" s="13"/>
    </row>
    <row r="9" spans="1:4" x14ac:dyDescent="0.2">
      <c r="A9" s="4" t="s">
        <v>1</v>
      </c>
      <c r="B9" s="5">
        <v>0</v>
      </c>
      <c r="C9" s="11">
        <f>MemberOfAssemblyAssemblyDistrict33General[[#This Row],[Part of Queens County Vote Results]]</f>
        <v>0</v>
      </c>
      <c r="D9" s="13"/>
    </row>
    <row r="10" spans="1:4" x14ac:dyDescent="0.2">
      <c r="A10" s="4" t="s">
        <v>2</v>
      </c>
      <c r="B10" s="5">
        <v>35</v>
      </c>
      <c r="C10" s="11">
        <f>MemberOfAssemblyAssemblyDistrict33General[[#This Row],[Part of Queens County Vote Results]]</f>
        <v>35</v>
      </c>
      <c r="D10" s="13"/>
    </row>
    <row r="11" spans="1:4" hidden="1" x14ac:dyDescent="0.2">
      <c r="A11" s="4" t="s">
        <v>3</v>
      </c>
      <c r="B11" s="6">
        <f>SUBTOTAL(109,MemberOfAssemblyAssemblyDistrict33General[Total Votes by Candidate])</f>
        <v>35623</v>
      </c>
    </row>
    <row r="12" spans="1:4" x14ac:dyDescent="0.2">
      <c r="B12" s="14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B7BA-D4CE-46BB-820D-8C04BCD8E619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273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274</v>
      </c>
      <c r="B3" s="3">
        <v>18078</v>
      </c>
      <c r="C3" s="11">
        <f>MemberOfAssemblyAssemblyDistrict34General[[#This Row],[Part of Queens County Vote Results]]</f>
        <v>18078</v>
      </c>
      <c r="D3" s="12">
        <f>MemberOfAssemblyAssemblyDistrict34General[[#This Row],[Total Votes by Party]]</f>
        <v>18078</v>
      </c>
    </row>
    <row r="4" spans="1:4" x14ac:dyDescent="0.2">
      <c r="A4" s="4" t="s">
        <v>0</v>
      </c>
      <c r="B4" s="5">
        <v>4271</v>
      </c>
      <c r="C4" s="11">
        <f>MemberOfAssemblyAssemblyDistrict34General[[#This Row],[Part of Queens County Vote Results]]</f>
        <v>4271</v>
      </c>
      <c r="D4" s="13"/>
    </row>
    <row r="5" spans="1:4" x14ac:dyDescent="0.2">
      <c r="A5" s="4" t="s">
        <v>1</v>
      </c>
      <c r="B5" s="5">
        <v>0</v>
      </c>
      <c r="C5" s="11">
        <f>MemberOfAssemblyAssemblyDistrict34General[[#This Row],[Part of Queens County Vote Results]]</f>
        <v>0</v>
      </c>
      <c r="D5" s="13"/>
    </row>
    <row r="6" spans="1:4" x14ac:dyDescent="0.2">
      <c r="A6" s="4" t="s">
        <v>2</v>
      </c>
      <c r="B6" s="5">
        <v>148</v>
      </c>
      <c r="C6" s="11">
        <f>MemberOfAssemblyAssemblyDistrict34General[[#This Row],[Part of Queens County Vote Results]]</f>
        <v>148</v>
      </c>
      <c r="D6" s="13"/>
    </row>
    <row r="7" spans="1:4" hidden="1" x14ac:dyDescent="0.2">
      <c r="A7" s="4" t="s">
        <v>3</v>
      </c>
      <c r="B7" s="6">
        <f>SUBTOTAL(109,MemberOfAssemblyAssemblyDistrict34General[Total Votes by Candidate])</f>
        <v>18078</v>
      </c>
      <c r="C7" s="11">
        <f>MemberOfAssemblyAssemblyDistrict33General[[#This Row],[Part of Queens County Vote Results]]</f>
        <v>85</v>
      </c>
      <c r="D7" s="13"/>
    </row>
    <row r="8" spans="1:4" x14ac:dyDescent="0.2">
      <c r="B8" s="14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D3E4-8ED0-4B94-96F7-5F561FDDF0A8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275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276</v>
      </c>
      <c r="B3" s="3">
        <v>16380</v>
      </c>
      <c r="C3" s="11">
        <f>MemberOfAssemblyAssemblyDistrict35General[[#This Row],[Part of Queens County Vote Results]]</f>
        <v>16380</v>
      </c>
      <c r="D3" s="12">
        <f>MemberOfAssemblyAssemblyDistrict35General[[#This Row],[Total Votes by Party]]</f>
        <v>16380</v>
      </c>
    </row>
    <row r="4" spans="1:4" x14ac:dyDescent="0.2">
      <c r="A4" s="4" t="s">
        <v>0</v>
      </c>
      <c r="B4" s="5">
        <v>3288</v>
      </c>
      <c r="C4" s="11">
        <f>MemberOfAssemblyAssemblyDistrict35General[[#This Row],[Part of Queens County Vote Results]]</f>
        <v>3288</v>
      </c>
      <c r="D4" s="13"/>
    </row>
    <row r="5" spans="1:4" x14ac:dyDescent="0.2">
      <c r="A5" s="4" t="s">
        <v>1</v>
      </c>
      <c r="B5" s="5">
        <v>0</v>
      </c>
      <c r="C5" s="11">
        <f>MemberOfAssemblyAssemblyDistrict35General[[#This Row],[Part of Queens County Vote Results]]</f>
        <v>0</v>
      </c>
      <c r="D5" s="13"/>
    </row>
    <row r="6" spans="1:4" x14ac:dyDescent="0.2">
      <c r="A6" s="4" t="s">
        <v>2</v>
      </c>
      <c r="B6" s="5">
        <v>100</v>
      </c>
      <c r="C6" s="11">
        <f>MemberOfAssemblyAssemblyDistrict35General[[#This Row],[Part of Queens County Vote Results]]</f>
        <v>100</v>
      </c>
      <c r="D6" s="13"/>
    </row>
    <row r="7" spans="1:4" hidden="1" x14ac:dyDescent="0.2">
      <c r="A7" s="4" t="s">
        <v>3</v>
      </c>
      <c r="B7" s="6">
        <f>SUBTOTAL(109,MemberOfAssemblyAssemblyDistrict35General[Total Votes by Candidate])</f>
        <v>16380</v>
      </c>
      <c r="C7" s="11">
        <f>MemberOfAssemblyAssemblyDistrict33General[[#This Row],[Part of Queens County Vote Results]]</f>
        <v>85</v>
      </c>
      <c r="D7" s="13"/>
    </row>
    <row r="8" spans="1:4" x14ac:dyDescent="0.2">
      <c r="B8" s="14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8341-08A7-48A7-9510-46815823B965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277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278</v>
      </c>
      <c r="B3" s="3">
        <v>27364</v>
      </c>
      <c r="C3" s="11">
        <f>MemberOfAssemblyAssemblyDistrict36General[[#This Row],[Part of Queens County Vote Results]]</f>
        <v>27364</v>
      </c>
      <c r="D3" s="12">
        <f>SUM(C3:C4)</f>
        <v>29944</v>
      </c>
    </row>
    <row r="4" spans="1:4" x14ac:dyDescent="0.2">
      <c r="A4" s="2" t="s">
        <v>279</v>
      </c>
      <c r="B4" s="3">
        <v>2580</v>
      </c>
      <c r="C4" s="11">
        <f>MemberOfAssemblyAssemblyDistrict36General[[#This Row],[Part of Queens County Vote Results]]</f>
        <v>2580</v>
      </c>
      <c r="D4" s="13"/>
    </row>
    <row r="5" spans="1:4" x14ac:dyDescent="0.2">
      <c r="A5" s="4" t="s">
        <v>0</v>
      </c>
      <c r="B5" s="5">
        <v>4887</v>
      </c>
      <c r="C5" s="11">
        <f>MemberOfAssemblyAssemblyDistrict36General[[#This Row],[Part of Queens County Vote Results]]</f>
        <v>4887</v>
      </c>
      <c r="D5" s="13"/>
    </row>
    <row r="6" spans="1:4" x14ac:dyDescent="0.2">
      <c r="A6" s="4" t="s">
        <v>1</v>
      </c>
      <c r="B6" s="5">
        <v>0</v>
      </c>
      <c r="C6" s="11">
        <f>MemberOfAssemblyAssemblyDistrict36General[[#This Row],[Part of Queens County Vote Results]]</f>
        <v>0</v>
      </c>
      <c r="D6" s="13"/>
    </row>
    <row r="7" spans="1:4" x14ac:dyDescent="0.2">
      <c r="A7" s="4" t="s">
        <v>2</v>
      </c>
      <c r="B7" s="5">
        <v>194</v>
      </c>
      <c r="C7" s="11">
        <f>MemberOfAssemblyAssemblyDistrict36General[[#This Row],[Part of Queens County Vote Results]]</f>
        <v>194</v>
      </c>
      <c r="D7" s="13"/>
    </row>
    <row r="8" spans="1:4" hidden="1" x14ac:dyDescent="0.2">
      <c r="A8" s="4" t="s">
        <v>3</v>
      </c>
      <c r="B8" s="6">
        <f>SUBTOTAL(109,MemberOfAssemblyAssemblyDistrict36General[Total Votes by Candidate])</f>
        <v>29944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D165-AA2B-4BDA-A40C-E2A4542D0EBF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280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281</v>
      </c>
      <c r="B3" s="3">
        <v>26494</v>
      </c>
      <c r="C3" s="11">
        <f>MemberOfAssemblyAssemblyDistrict37General[[#This Row],[Part of Queens County Vote Results]]</f>
        <v>26494</v>
      </c>
      <c r="D3" s="12">
        <f>SUM(C3:C4)</f>
        <v>29035</v>
      </c>
    </row>
    <row r="4" spans="1:4" x14ac:dyDescent="0.2">
      <c r="A4" s="2" t="s">
        <v>282</v>
      </c>
      <c r="B4" s="3">
        <v>2541</v>
      </c>
      <c r="C4" s="11">
        <f>MemberOfAssemblyAssemblyDistrict37General[[#This Row],[Part of Queens County Vote Results]]</f>
        <v>2541</v>
      </c>
      <c r="D4" s="13"/>
    </row>
    <row r="5" spans="1:4" x14ac:dyDescent="0.2">
      <c r="A5" s="4" t="s">
        <v>0</v>
      </c>
      <c r="B5" s="5">
        <v>3968</v>
      </c>
      <c r="C5" s="11">
        <f>MemberOfAssemblyAssemblyDistrict37General[[#This Row],[Part of Queens County Vote Results]]</f>
        <v>3968</v>
      </c>
      <c r="D5" s="13"/>
    </row>
    <row r="6" spans="1:4" x14ac:dyDescent="0.2">
      <c r="A6" s="4" t="s">
        <v>1</v>
      </c>
      <c r="B6" s="5">
        <v>0</v>
      </c>
      <c r="C6" s="11">
        <f>MemberOfAssemblyAssemblyDistrict37General[[#This Row],[Part of Queens County Vote Results]]</f>
        <v>0</v>
      </c>
      <c r="D6" s="13"/>
    </row>
    <row r="7" spans="1:4" x14ac:dyDescent="0.2">
      <c r="A7" s="4" t="s">
        <v>2</v>
      </c>
      <c r="B7" s="5">
        <v>195</v>
      </c>
      <c r="C7" s="11">
        <f>MemberOfAssemblyAssemblyDistrict37General[[#This Row],[Part of Queens County Vote Results]]</f>
        <v>195</v>
      </c>
      <c r="D7" s="13"/>
    </row>
    <row r="8" spans="1:4" hidden="1" x14ac:dyDescent="0.2">
      <c r="A8" s="4" t="s">
        <v>3</v>
      </c>
      <c r="B8" s="6">
        <f>SUBTOTAL(109,MemberOfAssemblyAssemblyDistrict37General[Total Votes by Candidate])</f>
        <v>29035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9805-C4EC-48AE-843D-F5386A3FD07A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283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284</v>
      </c>
      <c r="B3" s="3">
        <v>16913</v>
      </c>
      <c r="C3" s="11">
        <f>MemberOfAssemblyAssemblyDistrict38General[[#This Row],[Part of Queens County Vote Results]]</f>
        <v>16913</v>
      </c>
      <c r="D3" s="12">
        <f>SUM(C3:C4)</f>
        <v>18841</v>
      </c>
    </row>
    <row r="4" spans="1:4" x14ac:dyDescent="0.2">
      <c r="A4" s="2" t="s">
        <v>285</v>
      </c>
      <c r="B4" s="3">
        <v>1928</v>
      </c>
      <c r="C4" s="11">
        <f>MemberOfAssemblyAssemblyDistrict38General[[#This Row],[Part of Queens County Vote Results]]</f>
        <v>1928</v>
      </c>
      <c r="D4" s="13"/>
    </row>
    <row r="5" spans="1:4" x14ac:dyDescent="0.2">
      <c r="A5" s="4" t="s">
        <v>0</v>
      </c>
      <c r="B5" s="5">
        <v>3089</v>
      </c>
      <c r="C5" s="11">
        <f>MemberOfAssemblyAssemblyDistrict38General[[#This Row],[Part of Queens County Vote Results]]</f>
        <v>3089</v>
      </c>
      <c r="D5" s="13"/>
    </row>
    <row r="6" spans="1:4" x14ac:dyDescent="0.2">
      <c r="A6" s="4" t="s">
        <v>1</v>
      </c>
      <c r="B6" s="5">
        <v>0</v>
      </c>
      <c r="C6" s="11">
        <f>MemberOfAssemblyAssemblyDistrict38General[[#This Row],[Part of Queens County Vote Results]]</f>
        <v>0</v>
      </c>
      <c r="D6" s="13"/>
    </row>
    <row r="7" spans="1:4" x14ac:dyDescent="0.2">
      <c r="A7" s="4" t="s">
        <v>2</v>
      </c>
      <c r="B7" s="5">
        <v>78</v>
      </c>
      <c r="C7" s="11">
        <f>MemberOfAssemblyAssemblyDistrict38General[[#This Row],[Part of Queens County Vote Results]]</f>
        <v>78</v>
      </c>
      <c r="D7" s="13"/>
    </row>
    <row r="8" spans="1:4" hidden="1" x14ac:dyDescent="0.2">
      <c r="A8" s="4" t="s">
        <v>3</v>
      </c>
      <c r="B8" s="6">
        <f>SUBTOTAL(109,MemberOfAssemblyAssemblyDistrict38General[Total Votes by Candidate])</f>
        <v>18841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C6D6-B4EA-46C2-96AF-D4D311911F36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286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287</v>
      </c>
      <c r="B3" s="3">
        <v>13238</v>
      </c>
      <c r="C3" s="11">
        <f>MemberOfAssemblyAssemblyDistrict39General[[#This Row],[Part of Queens County Vote Results]]</f>
        <v>13238</v>
      </c>
      <c r="D3" s="12">
        <f>MemberOfAssemblyAssemblyDistrict39General[[#This Row],[Total Votes by Party]]</f>
        <v>13238</v>
      </c>
    </row>
    <row r="4" spans="1:4" x14ac:dyDescent="0.2">
      <c r="A4" s="2" t="s">
        <v>288</v>
      </c>
      <c r="B4" s="3">
        <v>1321</v>
      </c>
      <c r="C4" s="11">
        <f>MemberOfAssemblyAssemblyDistrict39General[[#This Row],[Part of Queens County Vote Results]]</f>
        <v>1321</v>
      </c>
      <c r="D4" s="12">
        <f>SUM(C4:C5)</f>
        <v>1579</v>
      </c>
    </row>
    <row r="5" spans="1:4" x14ac:dyDescent="0.2">
      <c r="A5" s="2" t="s">
        <v>289</v>
      </c>
      <c r="B5" s="3">
        <v>258</v>
      </c>
      <c r="C5" s="11">
        <f>MemberOfAssemblyAssemblyDistrict39General[[#This Row],[Part of Queens County Vote Results]]</f>
        <v>258</v>
      </c>
      <c r="D5" s="13"/>
    </row>
    <row r="6" spans="1:4" x14ac:dyDescent="0.2">
      <c r="A6" s="2" t="s">
        <v>290</v>
      </c>
      <c r="B6" s="3">
        <v>262</v>
      </c>
      <c r="C6" s="11">
        <f>MemberOfAssemblyAssemblyDistrict39General[[#This Row],[Part of Queens County Vote Results]]</f>
        <v>262</v>
      </c>
      <c r="D6" s="12">
        <f>MemberOfAssemblyAssemblyDistrict39General[[#This Row],[Total Votes by Party]]</f>
        <v>262</v>
      </c>
    </row>
    <row r="7" spans="1:4" x14ac:dyDescent="0.2">
      <c r="A7" s="4" t="s">
        <v>0</v>
      </c>
      <c r="B7" s="5">
        <v>2086</v>
      </c>
      <c r="C7" s="11">
        <f>MemberOfAssemblyAssemblyDistrict39General[[#This Row],[Part of Queens County Vote Results]]</f>
        <v>2086</v>
      </c>
      <c r="D7" s="13"/>
    </row>
    <row r="8" spans="1:4" x14ac:dyDescent="0.2">
      <c r="A8" s="4" t="s">
        <v>1</v>
      </c>
      <c r="B8" s="5">
        <v>0</v>
      </c>
      <c r="C8" s="11">
        <f>MemberOfAssemblyAssemblyDistrict39General[[#This Row],[Part of Queens County Vote Results]]</f>
        <v>0</v>
      </c>
      <c r="D8" s="13"/>
    </row>
    <row r="9" spans="1:4" x14ac:dyDescent="0.2">
      <c r="A9" s="4" t="s">
        <v>2</v>
      </c>
      <c r="B9" s="5">
        <v>37</v>
      </c>
      <c r="C9" s="11">
        <f>MemberOfAssemblyAssemblyDistrict39General[[#This Row],[Part of Queens County Vote Results]]</f>
        <v>37</v>
      </c>
      <c r="D9" s="13"/>
    </row>
    <row r="10" spans="1:4" hidden="1" x14ac:dyDescent="0.2">
      <c r="A10" s="4" t="s">
        <v>3</v>
      </c>
      <c r="B10" s="6">
        <f>SUBTOTAL(109,MemberOfAssemblyAssemblyDistrict39General[Total Votes by Candidate])</f>
        <v>15079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1BE7-870E-4D2B-AD7C-2A94D9A5BD59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87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88</v>
      </c>
      <c r="B3" s="3">
        <v>26009</v>
      </c>
      <c r="C3" s="11">
        <f>MemberOfAssemblyAssemblyDistrict4General[[#This Row],[Part of Suffolk County Vote Results]]</f>
        <v>26009</v>
      </c>
      <c r="D3" s="12">
        <f>SUM(MemberOfAssemblyAssemblyDistrict4General[[#This Row],[Total Votes by Party]],C6,C7,C8)</f>
        <v>27733</v>
      </c>
    </row>
    <row r="4" spans="1:4" x14ac:dyDescent="0.2">
      <c r="A4" s="2" t="s">
        <v>89</v>
      </c>
      <c r="B4" s="3">
        <v>15828</v>
      </c>
      <c r="C4" s="11">
        <f>MemberOfAssemblyAssemblyDistrict4General[[#This Row],[Part of Suffolk County Vote Results]]</f>
        <v>15828</v>
      </c>
      <c r="D4" s="12">
        <f>SUM(C4:C5)</f>
        <v>18019</v>
      </c>
    </row>
    <row r="5" spans="1:4" x14ac:dyDescent="0.2">
      <c r="A5" s="2" t="s">
        <v>90</v>
      </c>
      <c r="B5" s="3">
        <v>2191</v>
      </c>
      <c r="C5" s="11">
        <f>MemberOfAssemblyAssemblyDistrict4General[[#This Row],[Part of Suffolk County Vote Results]]</f>
        <v>2191</v>
      </c>
      <c r="D5" s="13"/>
    </row>
    <row r="6" spans="1:4" x14ac:dyDescent="0.2">
      <c r="A6" s="2" t="s">
        <v>91</v>
      </c>
      <c r="B6" s="3">
        <v>641</v>
      </c>
      <c r="C6" s="11">
        <f>MemberOfAssemblyAssemblyDistrict4General[[#This Row],[Part of Suffolk County Vote Results]]</f>
        <v>641</v>
      </c>
      <c r="D6" s="13"/>
    </row>
    <row r="7" spans="1:4" x14ac:dyDescent="0.2">
      <c r="A7" s="2" t="s">
        <v>92</v>
      </c>
      <c r="B7" s="3">
        <v>772</v>
      </c>
      <c r="C7" s="11">
        <f>MemberOfAssemblyAssemblyDistrict4General[[#This Row],[Part of Suffolk County Vote Results]]</f>
        <v>772</v>
      </c>
      <c r="D7" s="13"/>
    </row>
    <row r="8" spans="1:4" x14ac:dyDescent="0.2">
      <c r="A8" s="2" t="s">
        <v>93</v>
      </c>
      <c r="B8" s="3">
        <v>311</v>
      </c>
      <c r="C8" s="11">
        <f>MemberOfAssemblyAssemblyDistrict4General[[#This Row],[Part of Suffolk County Vote Results]]</f>
        <v>311</v>
      </c>
      <c r="D8" s="13"/>
    </row>
    <row r="9" spans="1:4" x14ac:dyDescent="0.2">
      <c r="A9" s="4" t="s">
        <v>0</v>
      </c>
      <c r="B9" s="5">
        <v>1552</v>
      </c>
      <c r="C9" s="11">
        <f>MemberOfAssemblyAssemblyDistrict4General[[#This Row],[Part of Suffolk County Vote Results]]</f>
        <v>1552</v>
      </c>
      <c r="D9" s="13"/>
    </row>
    <row r="10" spans="1:4" x14ac:dyDescent="0.2">
      <c r="A10" s="4" t="s">
        <v>1</v>
      </c>
      <c r="B10" s="5">
        <v>32</v>
      </c>
      <c r="C10" s="11">
        <f>MemberOfAssemblyAssemblyDistrict4General[[#This Row],[Part of Suffolk County Vote Results]]</f>
        <v>32</v>
      </c>
      <c r="D10" s="13"/>
    </row>
    <row r="11" spans="1:4" x14ac:dyDescent="0.2">
      <c r="A11" s="4" t="s">
        <v>2</v>
      </c>
      <c r="B11" s="5">
        <v>7</v>
      </c>
      <c r="C11" s="11">
        <f>MemberOfAssemblyAssemblyDistrict4General[[#This Row],[Part of Suffolk County Vote Results]]</f>
        <v>7</v>
      </c>
      <c r="D11" s="13"/>
    </row>
    <row r="12" spans="1:4" hidden="1" x14ac:dyDescent="0.2">
      <c r="A12" s="4" t="s">
        <v>3</v>
      </c>
      <c r="B12" s="6">
        <f>SUBTOTAL(109,MemberOfAssemblyAssemblyDistrict4General[Total Votes by Candidate])</f>
        <v>45752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A4D4-45C8-463F-83CE-2E39F527AB31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291</v>
      </c>
    </row>
    <row r="2" spans="1:4" ht="25.5" x14ac:dyDescent="0.2">
      <c r="A2" s="7" t="s">
        <v>5</v>
      </c>
      <c r="B2" s="8" t="s">
        <v>8</v>
      </c>
      <c r="C2" s="9" t="s">
        <v>869</v>
      </c>
      <c r="D2" s="10" t="s">
        <v>4</v>
      </c>
    </row>
    <row r="3" spans="1:4" x14ac:dyDescent="0.2">
      <c r="A3" s="2" t="s">
        <v>292</v>
      </c>
      <c r="B3" s="3">
        <v>11550</v>
      </c>
      <c r="C3" s="11">
        <f>MemberOfAssemblyAssemblyDistrict40General[[#This Row],[Part of Queens County Vote Results]]</f>
        <v>11550</v>
      </c>
      <c r="D3" s="12">
        <f>SUM(C3:C4)</f>
        <v>12284</v>
      </c>
    </row>
    <row r="4" spans="1:4" x14ac:dyDescent="0.2">
      <c r="A4" s="2" t="s">
        <v>293</v>
      </c>
      <c r="B4" s="3">
        <v>734</v>
      </c>
      <c r="C4" s="11">
        <f>MemberOfAssemblyAssemblyDistrict40General[[#This Row],[Part of Queens County Vote Results]]</f>
        <v>734</v>
      </c>
      <c r="D4" s="13"/>
    </row>
    <row r="5" spans="1:4" x14ac:dyDescent="0.2">
      <c r="A5" s="2" t="s">
        <v>294</v>
      </c>
      <c r="B5" s="3">
        <v>1689</v>
      </c>
      <c r="C5" s="11">
        <f>MemberOfAssemblyAssemblyDistrict40General[[#This Row],[Part of Queens County Vote Results]]</f>
        <v>1689</v>
      </c>
      <c r="D5" s="12">
        <f>MemberOfAssemblyAssemblyDistrict40General[[#This Row],[Total Votes by Party]]</f>
        <v>1689</v>
      </c>
    </row>
    <row r="6" spans="1:4" x14ac:dyDescent="0.2">
      <c r="A6" s="4" t="s">
        <v>0</v>
      </c>
      <c r="B6" s="5">
        <v>3346</v>
      </c>
      <c r="C6" s="11">
        <f>MemberOfAssemblyAssemblyDistrict40General[[#This Row],[Part of Queens County Vote Results]]</f>
        <v>3346</v>
      </c>
      <c r="D6" s="13"/>
    </row>
    <row r="7" spans="1:4" x14ac:dyDescent="0.2">
      <c r="A7" s="4" t="s">
        <v>1</v>
      </c>
      <c r="B7" s="5">
        <v>0</v>
      </c>
      <c r="C7" s="11">
        <f>MemberOfAssemblyAssemblyDistrict40General[[#This Row],[Part of Queens County Vote Results]]</f>
        <v>0</v>
      </c>
      <c r="D7" s="13"/>
    </row>
    <row r="8" spans="1:4" x14ac:dyDescent="0.2">
      <c r="A8" s="4" t="s">
        <v>2</v>
      </c>
      <c r="B8" s="5">
        <v>59</v>
      </c>
      <c r="C8" s="11">
        <f>MemberOfAssemblyAssemblyDistrict40General[[#This Row],[Part of Queens County Vote Results]]</f>
        <v>59</v>
      </c>
      <c r="D8" s="13"/>
    </row>
    <row r="9" spans="1:4" hidden="1" x14ac:dyDescent="0.2">
      <c r="A9" s="4" t="s">
        <v>3</v>
      </c>
      <c r="B9" s="6">
        <f>SUBTOTAL(109,MemberOfAssemblyAssemblyDistrict40General[Total Votes by Candidate])</f>
        <v>13973</v>
      </c>
      <c r="C9" s="11">
        <f>MemberOfAssemblyAssemblyDistrict39General[[#This Row],[Part of Queens County Vote Results]]</f>
        <v>37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AC2A-D11C-4709-B9BC-AD456AC2CE3F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295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296</v>
      </c>
      <c r="B3" s="3">
        <v>21228</v>
      </c>
      <c r="C3" s="11">
        <f>MemberOfAssemblyAssemblyDistrict41General[[#This Row],[Part of Kings County Vote Results]]</f>
        <v>21228</v>
      </c>
      <c r="D3" s="12">
        <f>SUM(C3:C4)</f>
        <v>22928</v>
      </c>
    </row>
    <row r="4" spans="1:4" x14ac:dyDescent="0.2">
      <c r="A4" s="2" t="s">
        <v>297</v>
      </c>
      <c r="B4" s="3">
        <v>1700</v>
      </c>
      <c r="C4" s="11">
        <f>MemberOfAssemblyAssemblyDistrict41General[[#This Row],[Part of Kings County Vote Results]]</f>
        <v>1700</v>
      </c>
      <c r="D4" s="13"/>
    </row>
    <row r="5" spans="1:4" x14ac:dyDescent="0.2">
      <c r="A5" s="4" t="s">
        <v>0</v>
      </c>
      <c r="B5" s="5">
        <v>5419</v>
      </c>
      <c r="C5" s="11">
        <f>MemberOfAssemblyAssemblyDistrict41General[[#This Row],[Part of Kings County Vote Results]]</f>
        <v>5419</v>
      </c>
      <c r="D5" s="13"/>
    </row>
    <row r="6" spans="1:4" x14ac:dyDescent="0.2">
      <c r="A6" s="4" t="s">
        <v>1</v>
      </c>
      <c r="B6" s="5">
        <v>0</v>
      </c>
      <c r="C6" s="11">
        <f>MemberOfAssemblyAssemblyDistrict41General[[#This Row],[Part of Kings County Vote Results]]</f>
        <v>0</v>
      </c>
      <c r="D6" s="13"/>
    </row>
    <row r="7" spans="1:4" x14ac:dyDescent="0.2">
      <c r="A7" s="4" t="s">
        <v>2</v>
      </c>
      <c r="B7" s="5">
        <v>191</v>
      </c>
      <c r="C7" s="11">
        <f>MemberOfAssemblyAssemblyDistrict41General[[#This Row],[Part of Kings County Vote Results]]</f>
        <v>191</v>
      </c>
      <c r="D7" s="13"/>
    </row>
    <row r="8" spans="1:4" hidden="1" x14ac:dyDescent="0.2">
      <c r="A8" s="4" t="s">
        <v>3</v>
      </c>
      <c r="B8" s="6">
        <f>SUBTOTAL(109,MemberOfAssemblyAssemblyDistrict41General[Total Votes by Candidate])</f>
        <v>22928</v>
      </c>
      <c r="C8" s="11">
        <f>MemberOfAssemblyAssemblyDistrict40General[[#This Row],[Part of Queens County Vote Results]]</f>
        <v>59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8743-D9EF-4F4D-8D0E-9B4779550395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298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299</v>
      </c>
      <c r="B3" s="3">
        <v>26773</v>
      </c>
      <c r="C3" s="11">
        <f>MemberOfAssemblyAssemblyDistrict42General[[#This Row],[Part of Kings County Vote Results]]</f>
        <v>26773</v>
      </c>
      <c r="D3" s="12">
        <f>SUM(MemberOfAssemblyAssemblyDistrict42General[[#This Row],[Total Votes by Party]],C7)</f>
        <v>28612</v>
      </c>
    </row>
    <row r="4" spans="1:4" x14ac:dyDescent="0.2">
      <c r="A4" s="2" t="s">
        <v>300</v>
      </c>
      <c r="B4" s="3">
        <v>1985</v>
      </c>
      <c r="C4" s="11">
        <f>MemberOfAssemblyAssemblyDistrict42General[[#This Row],[Part of Kings County Vote Results]]</f>
        <v>1985</v>
      </c>
      <c r="D4" s="12">
        <f>SUM(C4:C5)</f>
        <v>2264</v>
      </c>
    </row>
    <row r="5" spans="1:4" x14ac:dyDescent="0.2">
      <c r="A5" s="2" t="s">
        <v>302</v>
      </c>
      <c r="B5" s="3">
        <v>279</v>
      </c>
      <c r="C5" s="11">
        <f>MemberOfAssemblyAssemblyDistrict42General[[#This Row],[Part of Kings County Vote Results]]</f>
        <v>279</v>
      </c>
      <c r="D5" s="13"/>
    </row>
    <row r="6" spans="1:4" x14ac:dyDescent="0.2">
      <c r="A6" s="2" t="s">
        <v>301</v>
      </c>
      <c r="B6" s="3">
        <v>689</v>
      </c>
      <c r="C6" s="11">
        <f>MemberOfAssemblyAssemblyDistrict42General[[#This Row],[Part of Kings County Vote Results]]</f>
        <v>689</v>
      </c>
      <c r="D6" s="12">
        <f>MemberOfAssemblyAssemblyDistrict42General[[#This Row],[Total Votes by Party]]</f>
        <v>689</v>
      </c>
    </row>
    <row r="7" spans="1:4" x14ac:dyDescent="0.2">
      <c r="A7" s="2" t="s">
        <v>303</v>
      </c>
      <c r="B7" s="3">
        <v>1839</v>
      </c>
      <c r="C7" s="11">
        <f>MemberOfAssemblyAssemblyDistrict42General[[#This Row],[Part of Kings County Vote Results]]</f>
        <v>1839</v>
      </c>
      <c r="D7" s="13"/>
    </row>
    <row r="8" spans="1:4" x14ac:dyDescent="0.2">
      <c r="A8" s="4" t="s">
        <v>0</v>
      </c>
      <c r="B8" s="5">
        <v>1094</v>
      </c>
      <c r="C8" s="11">
        <f>MemberOfAssemblyAssemblyDistrict42General[[#This Row],[Part of Kings County Vote Results]]</f>
        <v>1094</v>
      </c>
      <c r="D8" s="13"/>
    </row>
    <row r="9" spans="1:4" x14ac:dyDescent="0.2">
      <c r="A9" s="4" t="s">
        <v>1</v>
      </c>
      <c r="B9" s="5">
        <v>0</v>
      </c>
      <c r="C9" s="11">
        <f>MemberOfAssemblyAssemblyDistrict42General[[#This Row],[Part of Kings County Vote Results]]</f>
        <v>0</v>
      </c>
      <c r="D9" s="13"/>
    </row>
    <row r="10" spans="1:4" x14ac:dyDescent="0.2">
      <c r="A10" s="4" t="s">
        <v>2</v>
      </c>
      <c r="B10" s="5">
        <v>22</v>
      </c>
      <c r="C10" s="11">
        <f>MemberOfAssemblyAssemblyDistrict42General[[#This Row],[Part of Kings County Vote Results]]</f>
        <v>22</v>
      </c>
      <c r="D10" s="13"/>
    </row>
    <row r="11" spans="1:4" hidden="1" x14ac:dyDescent="0.2">
      <c r="A11" s="4" t="s">
        <v>3</v>
      </c>
      <c r="B11" s="6">
        <f>SUBTOTAL(109,MemberOfAssemblyAssemblyDistrict42General[Total Votes by Candidate])</f>
        <v>31565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1B6D-19AB-47B6-B5E0-E549738574E4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304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305</v>
      </c>
      <c r="B3" s="3">
        <v>32610</v>
      </c>
      <c r="C3" s="11">
        <f>MemberOfAssemblyAssemblyDistrict43General[[#This Row],[Part of Kings County Vote Results]]</f>
        <v>32610</v>
      </c>
      <c r="D3" s="12">
        <f>SUM(C3:C4)</f>
        <v>35595</v>
      </c>
    </row>
    <row r="4" spans="1:4" x14ac:dyDescent="0.2">
      <c r="A4" s="2" t="s">
        <v>306</v>
      </c>
      <c r="B4" s="3">
        <v>2985</v>
      </c>
      <c r="C4" s="11">
        <f>MemberOfAssemblyAssemblyDistrict43General[[#This Row],[Part of Kings County Vote Results]]</f>
        <v>2985</v>
      </c>
      <c r="D4" s="13"/>
    </row>
    <row r="5" spans="1:4" x14ac:dyDescent="0.2">
      <c r="A5" s="4" t="s">
        <v>0</v>
      </c>
      <c r="B5" s="5">
        <v>2668</v>
      </c>
      <c r="C5" s="11">
        <f>MemberOfAssemblyAssemblyDistrict43General[[#This Row],[Part of Kings County Vote Results]]</f>
        <v>2668</v>
      </c>
      <c r="D5" s="13"/>
    </row>
    <row r="6" spans="1:4" x14ac:dyDescent="0.2">
      <c r="A6" s="4" t="s">
        <v>1</v>
      </c>
      <c r="B6" s="5">
        <v>0</v>
      </c>
      <c r="C6" s="11">
        <f>MemberOfAssemblyAssemblyDistrict43General[[#This Row],[Part of Kings County Vote Results]]</f>
        <v>0</v>
      </c>
      <c r="D6" s="13"/>
    </row>
    <row r="7" spans="1:4" x14ac:dyDescent="0.2">
      <c r="A7" s="4" t="s">
        <v>2</v>
      </c>
      <c r="B7" s="5">
        <v>131</v>
      </c>
      <c r="C7" s="11">
        <f>MemberOfAssemblyAssemblyDistrict43General[[#This Row],[Part of Kings County Vote Results]]</f>
        <v>131</v>
      </c>
      <c r="D7" s="13"/>
    </row>
    <row r="8" spans="1:4" hidden="1" x14ac:dyDescent="0.2">
      <c r="A8" s="4" t="s">
        <v>3</v>
      </c>
      <c r="B8" s="6">
        <f>SUBTOTAL(109,MemberOfAssemblyAssemblyDistrict43General[Total Votes by Candidate])</f>
        <v>35595</v>
      </c>
      <c r="C8" s="11">
        <f>MemberOfAssemblyAssemblyDistrict42General[[#This Row],[Part of Kings County Vote Results]]</f>
        <v>1094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CB36-BC31-4516-A700-44C57F3B400D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307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308</v>
      </c>
      <c r="B3" s="3">
        <v>24980</v>
      </c>
      <c r="C3" s="11">
        <f>MemberOfAssemblyAssemblyDistrict44General[[#This Row],[Part of Kings County Vote Results]]</f>
        <v>24980</v>
      </c>
      <c r="D3" s="12">
        <f>SUM(MemberOfAssemblyAssemblyDistrict44General[[#This Row],[Total Votes by Party]],C6)</f>
        <v>29902</v>
      </c>
    </row>
    <row r="4" spans="1:4" x14ac:dyDescent="0.2">
      <c r="A4" s="2" t="s">
        <v>309</v>
      </c>
      <c r="B4" s="3">
        <v>4155</v>
      </c>
      <c r="C4" s="11">
        <f>MemberOfAssemblyAssemblyDistrict44General[[#This Row],[Part of Kings County Vote Results]]</f>
        <v>4155</v>
      </c>
      <c r="D4" s="12">
        <f>SUM(C4:C5,C7)</f>
        <v>4890</v>
      </c>
    </row>
    <row r="5" spans="1:4" x14ac:dyDescent="0.2">
      <c r="A5" s="2" t="s">
        <v>310</v>
      </c>
      <c r="B5" s="3">
        <v>665</v>
      </c>
      <c r="C5" s="11">
        <f>MemberOfAssemblyAssemblyDistrict44General[[#This Row],[Part of Kings County Vote Results]]</f>
        <v>665</v>
      </c>
      <c r="D5" s="13"/>
    </row>
    <row r="6" spans="1:4" x14ac:dyDescent="0.2">
      <c r="A6" s="2" t="s">
        <v>311</v>
      </c>
      <c r="B6" s="3">
        <v>4922</v>
      </c>
      <c r="C6" s="11">
        <f>MemberOfAssemblyAssemblyDistrict44General[[#This Row],[Part of Kings County Vote Results]]</f>
        <v>4922</v>
      </c>
      <c r="D6" s="13"/>
    </row>
    <row r="7" spans="1:4" x14ac:dyDescent="0.2">
      <c r="A7" s="2" t="s">
        <v>312</v>
      </c>
      <c r="B7" s="3">
        <v>70</v>
      </c>
      <c r="C7" s="11">
        <f>MemberOfAssemblyAssemblyDistrict44General[[#This Row],[Part of Kings County Vote Results]]</f>
        <v>70</v>
      </c>
      <c r="D7" s="13"/>
    </row>
    <row r="8" spans="1:4" x14ac:dyDescent="0.2">
      <c r="A8" s="4" t="s">
        <v>0</v>
      </c>
      <c r="B8" s="5">
        <v>1285</v>
      </c>
      <c r="C8" s="11">
        <f>MemberOfAssemblyAssemblyDistrict44General[[#This Row],[Part of Kings County Vote Results]]</f>
        <v>1285</v>
      </c>
      <c r="D8" s="13"/>
    </row>
    <row r="9" spans="1:4" x14ac:dyDescent="0.2">
      <c r="A9" s="4" t="s">
        <v>1</v>
      </c>
      <c r="B9" s="5">
        <v>0</v>
      </c>
      <c r="C9" s="11">
        <f>MemberOfAssemblyAssemblyDistrict44General[[#This Row],[Part of Kings County Vote Results]]</f>
        <v>0</v>
      </c>
      <c r="D9" s="13"/>
    </row>
    <row r="10" spans="1:4" x14ac:dyDescent="0.2">
      <c r="A10" s="4" t="s">
        <v>2</v>
      </c>
      <c r="B10" s="5">
        <v>50</v>
      </c>
      <c r="C10" s="11">
        <f>MemberOfAssemblyAssemblyDistrict44General[[#This Row],[Part of Kings County Vote Results]]</f>
        <v>50</v>
      </c>
      <c r="D10" s="13"/>
    </row>
    <row r="11" spans="1:4" hidden="1" x14ac:dyDescent="0.2">
      <c r="A11" s="4" t="s">
        <v>3</v>
      </c>
      <c r="B11" s="6">
        <f>SUBTOTAL(109,MemberOfAssemblyAssemblyDistrict44General[Total Votes by Candidate])</f>
        <v>34792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92B1-5944-4345-9F5B-FEE9F77240C5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313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314</v>
      </c>
      <c r="B3" s="3">
        <v>12024</v>
      </c>
      <c r="C3" s="11">
        <f>MemberOfAssemblyAssemblyDistrict45General[[#This Row],[Part of Kings County Vote Results]]</f>
        <v>12024</v>
      </c>
      <c r="D3" s="12">
        <f>SUM(C3:C6)</f>
        <v>14301</v>
      </c>
    </row>
    <row r="4" spans="1:4" x14ac:dyDescent="0.2">
      <c r="A4" s="2" t="s">
        <v>315</v>
      </c>
      <c r="B4" s="3">
        <v>946</v>
      </c>
      <c r="C4" s="11">
        <f>MemberOfAssemblyAssemblyDistrict45General[[#This Row],[Part of Kings County Vote Results]]</f>
        <v>946</v>
      </c>
      <c r="D4" s="13"/>
    </row>
    <row r="5" spans="1:4" x14ac:dyDescent="0.2">
      <c r="A5" s="2" t="s">
        <v>316</v>
      </c>
      <c r="B5" s="3">
        <v>1226</v>
      </c>
      <c r="C5" s="11">
        <f>MemberOfAssemblyAssemblyDistrict45General[[#This Row],[Part of Kings County Vote Results]]</f>
        <v>1226</v>
      </c>
      <c r="D5" s="13"/>
    </row>
    <row r="6" spans="1:4" x14ac:dyDescent="0.2">
      <c r="A6" s="2" t="s">
        <v>317</v>
      </c>
      <c r="B6" s="3">
        <v>105</v>
      </c>
      <c r="C6" s="11">
        <f>MemberOfAssemblyAssemblyDistrict45General[[#This Row],[Part of Kings County Vote Results]]</f>
        <v>105</v>
      </c>
      <c r="D6" s="13"/>
    </row>
    <row r="7" spans="1:4" x14ac:dyDescent="0.2">
      <c r="A7" s="4" t="s">
        <v>0</v>
      </c>
      <c r="B7" s="5">
        <v>5823</v>
      </c>
      <c r="C7" s="11">
        <f>MemberOfAssemblyAssemblyDistrict45General[[#This Row],[Part of Kings County Vote Results]]</f>
        <v>5823</v>
      </c>
      <c r="D7" s="13"/>
    </row>
    <row r="8" spans="1:4" x14ac:dyDescent="0.2">
      <c r="A8" s="4" t="s">
        <v>1</v>
      </c>
      <c r="B8" s="5">
        <v>0</v>
      </c>
      <c r="C8" s="11">
        <f>MemberOfAssemblyAssemblyDistrict45General[[#This Row],[Part of Kings County Vote Results]]</f>
        <v>0</v>
      </c>
      <c r="D8" s="13"/>
    </row>
    <row r="9" spans="1:4" x14ac:dyDescent="0.2">
      <c r="A9" s="4" t="s">
        <v>2</v>
      </c>
      <c r="B9" s="5">
        <v>179</v>
      </c>
      <c r="C9" s="11">
        <f>MemberOfAssemblyAssemblyDistrict45General[[#This Row],[Part of Kings County Vote Results]]</f>
        <v>179</v>
      </c>
      <c r="D9" s="13"/>
    </row>
    <row r="10" spans="1:4" hidden="1" x14ac:dyDescent="0.2">
      <c r="A10" s="4" t="s">
        <v>3</v>
      </c>
      <c r="B10" s="6">
        <f>SUBTOTAL(109,MemberOfAssemblyAssemblyDistrict45General[Total Votes by Candidate])</f>
        <v>14301</v>
      </c>
      <c r="C10" s="11">
        <f>MemberOfAssemblyAssemblyDistrict44General[[#This Row],[Part of Kings County Vote Results]]</f>
        <v>50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5E50-9983-469D-920A-F52BF0C4F9F5}">
  <sheetPr>
    <pageSetUpPr fitToPage="1"/>
  </sheetPr>
  <dimension ref="A1:D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318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319</v>
      </c>
      <c r="B3" s="3">
        <v>15537</v>
      </c>
      <c r="C3" s="11">
        <f>MemberOfAssemblyAssemblyDistrict46General[[#This Row],[Part of Kings County Vote Results]]</f>
        <v>15537</v>
      </c>
      <c r="D3" s="12">
        <f>SUM(MemberOfAssemblyAssemblyDistrict46General[[#This Row],[Total Votes by Party]],C9)</f>
        <v>15725</v>
      </c>
    </row>
    <row r="4" spans="1:4" x14ac:dyDescent="0.2">
      <c r="A4" s="2" t="s">
        <v>320</v>
      </c>
      <c r="B4" s="3">
        <v>11567</v>
      </c>
      <c r="C4" s="11">
        <f>MemberOfAssemblyAssemblyDistrict46General[[#This Row],[Part of Kings County Vote Results]]</f>
        <v>11567</v>
      </c>
      <c r="D4" s="12">
        <f>SUM(C4:C5,C8,C10)</f>
        <v>12813</v>
      </c>
    </row>
    <row r="5" spans="1:4" x14ac:dyDescent="0.2">
      <c r="A5" s="2" t="s">
        <v>323</v>
      </c>
      <c r="B5" s="3">
        <v>883</v>
      </c>
      <c r="C5" s="11">
        <f>MemberOfAssemblyAssemblyDistrict46General[[#This Row],[Part of Kings County Vote Results]]</f>
        <v>883</v>
      </c>
      <c r="D5" s="13"/>
    </row>
    <row r="6" spans="1:4" x14ac:dyDescent="0.2">
      <c r="A6" s="2" t="s">
        <v>321</v>
      </c>
      <c r="B6" s="3">
        <v>310</v>
      </c>
      <c r="C6" s="11">
        <f>MemberOfAssemblyAssemblyDistrict46General[[#This Row],[Part of Kings County Vote Results]]</f>
        <v>310</v>
      </c>
      <c r="D6" s="12">
        <f>MemberOfAssemblyAssemblyDistrict46General[[#This Row],[Total Votes by Party]]</f>
        <v>310</v>
      </c>
    </row>
    <row r="7" spans="1:4" x14ac:dyDescent="0.2">
      <c r="A7" s="2" t="s">
        <v>322</v>
      </c>
      <c r="B7" s="3">
        <v>464</v>
      </c>
      <c r="C7" s="11">
        <f>MemberOfAssemblyAssemblyDistrict46General[[#This Row],[Part of Kings County Vote Results]]</f>
        <v>464</v>
      </c>
      <c r="D7" s="12">
        <f>MemberOfAssemblyAssemblyDistrict46General[[#This Row],[Total Votes by Party]]</f>
        <v>464</v>
      </c>
    </row>
    <row r="8" spans="1:4" x14ac:dyDescent="0.2">
      <c r="A8" s="2" t="s">
        <v>324</v>
      </c>
      <c r="B8" s="3">
        <v>296</v>
      </c>
      <c r="C8" s="11">
        <f>MemberOfAssemblyAssemblyDistrict46General[[#This Row],[Part of Kings County Vote Results]]</f>
        <v>296</v>
      </c>
      <c r="D8" s="13"/>
    </row>
    <row r="9" spans="1:4" x14ac:dyDescent="0.2">
      <c r="A9" s="2" t="s">
        <v>325</v>
      </c>
      <c r="B9" s="3">
        <v>188</v>
      </c>
      <c r="C9" s="11">
        <f>MemberOfAssemblyAssemblyDistrict46General[[#This Row],[Part of Kings County Vote Results]]</f>
        <v>188</v>
      </c>
      <c r="D9" s="13"/>
    </row>
    <row r="10" spans="1:4" x14ac:dyDescent="0.2">
      <c r="A10" s="2" t="s">
        <v>326</v>
      </c>
      <c r="B10" s="3">
        <v>67</v>
      </c>
      <c r="C10" s="11">
        <f>MemberOfAssemblyAssemblyDistrict46General[[#This Row],[Part of Kings County Vote Results]]</f>
        <v>67</v>
      </c>
      <c r="D10" s="13"/>
    </row>
    <row r="11" spans="1:4" x14ac:dyDescent="0.2">
      <c r="A11" s="4" t="s">
        <v>0</v>
      </c>
      <c r="B11" s="5">
        <v>1336</v>
      </c>
      <c r="C11" s="11">
        <f>MemberOfAssemblyAssemblyDistrict46General[[#This Row],[Part of Kings County Vote Results]]</f>
        <v>1336</v>
      </c>
      <c r="D11" s="13"/>
    </row>
    <row r="12" spans="1:4" x14ac:dyDescent="0.2">
      <c r="A12" s="4" t="s">
        <v>1</v>
      </c>
      <c r="B12" s="5">
        <v>0</v>
      </c>
      <c r="C12" s="11">
        <f>MemberOfAssemblyAssemblyDistrict46General[[#This Row],[Part of Kings County Vote Results]]</f>
        <v>0</v>
      </c>
      <c r="D12" s="13"/>
    </row>
    <row r="13" spans="1:4" x14ac:dyDescent="0.2">
      <c r="A13" s="4" t="s">
        <v>2</v>
      </c>
      <c r="B13" s="5">
        <v>19</v>
      </c>
      <c r="C13" s="11">
        <f>MemberOfAssemblyAssemblyDistrict46General[[#This Row],[Part of Kings County Vote Results]]</f>
        <v>19</v>
      </c>
      <c r="D13" s="13"/>
    </row>
    <row r="14" spans="1:4" hidden="1" x14ac:dyDescent="0.2">
      <c r="A14" s="4" t="s">
        <v>3</v>
      </c>
      <c r="B14" s="6">
        <f>SUBTOTAL(109,MemberOfAssemblyAssemblyDistrict46General[Total Votes by Candidate])</f>
        <v>29312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0791-39BB-4C98-BE3A-B3AE14E8AD63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327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328</v>
      </c>
      <c r="B3" s="3">
        <v>11860</v>
      </c>
      <c r="C3" s="11">
        <f>MemberOfAssemblyAssemblyDistrict47General[[#This Row],[Part of Kings County Vote Results]]</f>
        <v>11860</v>
      </c>
      <c r="D3" s="12">
        <f>SUM(MemberOfAssemblyAssemblyDistrict47General[[#This Row],[Total Votes by Party]],C6)</f>
        <v>12525</v>
      </c>
    </row>
    <row r="4" spans="1:4" x14ac:dyDescent="0.2">
      <c r="A4" s="2" t="s">
        <v>329</v>
      </c>
      <c r="B4" s="3">
        <v>5101</v>
      </c>
      <c r="C4" s="11">
        <f>MemberOfAssemblyAssemblyDistrict47General[[#This Row],[Part of Kings County Vote Results]]</f>
        <v>5101</v>
      </c>
      <c r="D4" s="12">
        <f>SUM(C4:C5)</f>
        <v>5501</v>
      </c>
    </row>
    <row r="5" spans="1:4" x14ac:dyDescent="0.2">
      <c r="A5" s="2" t="s">
        <v>330</v>
      </c>
      <c r="B5" s="3">
        <v>400</v>
      </c>
      <c r="C5" s="11">
        <f>MemberOfAssemblyAssemblyDistrict47General[[#This Row],[Part of Kings County Vote Results]]</f>
        <v>400</v>
      </c>
      <c r="D5" s="13"/>
    </row>
    <row r="6" spans="1:4" x14ac:dyDescent="0.2">
      <c r="A6" s="2" t="s">
        <v>331</v>
      </c>
      <c r="B6" s="3">
        <v>665</v>
      </c>
      <c r="C6" s="11">
        <f>MemberOfAssemblyAssemblyDistrict47General[[#This Row],[Part of Kings County Vote Results]]</f>
        <v>665</v>
      </c>
      <c r="D6" s="13"/>
    </row>
    <row r="7" spans="1:4" x14ac:dyDescent="0.2">
      <c r="A7" s="4" t="s">
        <v>0</v>
      </c>
      <c r="B7" s="5">
        <v>728</v>
      </c>
      <c r="C7" s="11">
        <f>MemberOfAssemblyAssemblyDistrict47General[[#This Row],[Part of Kings County Vote Results]]</f>
        <v>728</v>
      </c>
      <c r="D7" s="13"/>
    </row>
    <row r="8" spans="1:4" x14ac:dyDescent="0.2">
      <c r="A8" s="4" t="s">
        <v>1</v>
      </c>
      <c r="B8" s="5">
        <v>0</v>
      </c>
      <c r="C8" s="11">
        <f>MemberOfAssemblyAssemblyDistrict47General[[#This Row],[Part of Kings County Vote Results]]</f>
        <v>0</v>
      </c>
      <c r="D8" s="13"/>
    </row>
    <row r="9" spans="1:4" x14ac:dyDescent="0.2">
      <c r="A9" s="4" t="s">
        <v>2</v>
      </c>
      <c r="B9" s="5">
        <v>21</v>
      </c>
      <c r="C9" s="11">
        <f>MemberOfAssemblyAssemblyDistrict47General[[#This Row],[Part of Kings County Vote Results]]</f>
        <v>21</v>
      </c>
      <c r="D9" s="13"/>
    </row>
    <row r="10" spans="1:4" hidden="1" x14ac:dyDescent="0.2">
      <c r="A10" s="4" t="s">
        <v>3</v>
      </c>
      <c r="B10" s="6">
        <f>SUBTOTAL(109,MemberOfAssemblyAssemblyDistrict47General[Total Votes by Candidate])</f>
        <v>18026</v>
      </c>
      <c r="C10" s="11">
        <f>MemberOfAssemblyAssemblyDistrict46General[[#This Row],[Part of Kings County Vote Results]]</f>
        <v>67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3D12-E52B-4178-85E4-9F10D8A37AAA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332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333</v>
      </c>
      <c r="B3" s="3">
        <v>9702</v>
      </c>
      <c r="C3" s="11">
        <f>MemberOfAssemblyAssemblyDistrict48General[[#This Row],[Part of Kings County Vote Results]]</f>
        <v>9702</v>
      </c>
      <c r="D3" s="12">
        <f>SUM(C3:C4)</f>
        <v>15798</v>
      </c>
    </row>
    <row r="4" spans="1:4" x14ac:dyDescent="0.2">
      <c r="A4" s="2" t="s">
        <v>334</v>
      </c>
      <c r="B4" s="3">
        <v>6096</v>
      </c>
      <c r="C4" s="11">
        <f>MemberOfAssemblyAssemblyDistrict48General[[#This Row],[Part of Kings County Vote Results]]</f>
        <v>6096</v>
      </c>
      <c r="D4" s="13"/>
    </row>
    <row r="5" spans="1:4" x14ac:dyDescent="0.2">
      <c r="A5" s="4" t="s">
        <v>0</v>
      </c>
      <c r="B5" s="5">
        <v>2672</v>
      </c>
      <c r="C5" s="11">
        <f>MemberOfAssemblyAssemblyDistrict48General[[#This Row],[Part of Kings County Vote Results]]</f>
        <v>2672</v>
      </c>
      <c r="D5" s="13"/>
    </row>
    <row r="6" spans="1:4" x14ac:dyDescent="0.2">
      <c r="A6" s="4" t="s">
        <v>1</v>
      </c>
      <c r="B6" s="5">
        <v>0</v>
      </c>
      <c r="C6" s="11">
        <f>MemberOfAssemblyAssemblyDistrict48General[[#This Row],[Part of Kings County Vote Results]]</f>
        <v>0</v>
      </c>
      <c r="D6" s="13"/>
    </row>
    <row r="7" spans="1:4" x14ac:dyDescent="0.2">
      <c r="A7" s="4" t="s">
        <v>2</v>
      </c>
      <c r="B7" s="5">
        <v>157</v>
      </c>
      <c r="C7" s="11">
        <f>MemberOfAssemblyAssemblyDistrict48General[[#This Row],[Part of Kings County Vote Results]]</f>
        <v>157</v>
      </c>
      <c r="D7" s="13"/>
    </row>
    <row r="8" spans="1:4" hidden="1" x14ac:dyDescent="0.2">
      <c r="A8" s="4" t="s">
        <v>3</v>
      </c>
      <c r="B8" s="6">
        <f>SUBTOTAL(109,MemberOfAssemblyAssemblyDistrict48General[Total Votes by Candidate])</f>
        <v>15798</v>
      </c>
      <c r="C8" s="11">
        <f>MemberOfAssemblyAssemblyDistrict47General[[#This Row],[Part of Kings County Vote Results]]</f>
        <v>0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D18B-999A-427A-AAE2-43FF48071672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335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336</v>
      </c>
      <c r="B3" s="3">
        <v>9910</v>
      </c>
      <c r="C3" s="11">
        <f>MemberOfAssemblyAssemblyDistrict49General[[#This Row],[Part of Kings County Vote Results]]</f>
        <v>9910</v>
      </c>
      <c r="D3" s="12">
        <f>SUM(MemberOfAssemblyAssemblyDistrict49General[[#This Row],[Total Votes by Party]],C5:C6)</f>
        <v>10799</v>
      </c>
    </row>
    <row r="4" spans="1:4" x14ac:dyDescent="0.2">
      <c r="A4" s="2" t="s">
        <v>337</v>
      </c>
      <c r="B4" s="3">
        <v>2017</v>
      </c>
      <c r="C4" s="11">
        <f>MemberOfAssemblyAssemblyDistrict49General[[#This Row],[Part of Kings County Vote Results]]</f>
        <v>2017</v>
      </c>
      <c r="D4" s="12">
        <f>MemberOfAssemblyAssemblyDistrict49General[[#This Row],[Total Votes by Party]]</f>
        <v>2017</v>
      </c>
    </row>
    <row r="5" spans="1:4" x14ac:dyDescent="0.2">
      <c r="A5" s="2" t="s">
        <v>338</v>
      </c>
      <c r="B5" s="3">
        <v>539</v>
      </c>
      <c r="C5" s="11">
        <f>MemberOfAssemblyAssemblyDistrict49General[[#This Row],[Part of Kings County Vote Results]]</f>
        <v>539</v>
      </c>
      <c r="D5" s="13"/>
    </row>
    <row r="6" spans="1:4" x14ac:dyDescent="0.2">
      <c r="A6" s="2" t="s">
        <v>339</v>
      </c>
      <c r="B6" s="3">
        <v>350</v>
      </c>
      <c r="C6" s="11">
        <f>MemberOfAssemblyAssemblyDistrict49General[[#This Row],[Part of Kings County Vote Results]]</f>
        <v>350</v>
      </c>
      <c r="D6" s="13"/>
    </row>
    <row r="7" spans="1:4" x14ac:dyDescent="0.2">
      <c r="A7" s="4" t="s">
        <v>0</v>
      </c>
      <c r="B7" s="5">
        <v>1852</v>
      </c>
      <c r="C7" s="11">
        <f>MemberOfAssemblyAssemblyDistrict49General[[#This Row],[Part of Kings County Vote Results]]</f>
        <v>1852</v>
      </c>
      <c r="D7" s="13"/>
    </row>
    <row r="8" spans="1:4" x14ac:dyDescent="0.2">
      <c r="A8" s="4" t="s">
        <v>1</v>
      </c>
      <c r="B8" s="5">
        <v>0</v>
      </c>
      <c r="C8" s="11">
        <f>MemberOfAssemblyAssemblyDistrict49General[[#This Row],[Part of Kings County Vote Results]]</f>
        <v>0</v>
      </c>
      <c r="D8" s="13"/>
    </row>
    <row r="9" spans="1:4" x14ac:dyDescent="0.2">
      <c r="A9" s="4" t="s">
        <v>2</v>
      </c>
      <c r="B9" s="5">
        <v>9</v>
      </c>
      <c r="C9" s="11">
        <f>MemberOfAssemblyAssemblyDistrict49General[[#This Row],[Part of Kings County Vote Results]]</f>
        <v>9</v>
      </c>
      <c r="D9" s="13"/>
    </row>
    <row r="10" spans="1:4" hidden="1" x14ac:dyDescent="0.2">
      <c r="A10" s="4" t="s">
        <v>3</v>
      </c>
      <c r="B10" s="6">
        <f>SUBTOTAL(109,MemberOfAssemblyAssemblyDistrict49General[Total Votes by Candidate])</f>
        <v>12816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5FDB-21E4-41B9-AF78-CD0357CDE197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94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95</v>
      </c>
      <c r="B3" s="3">
        <v>17668</v>
      </c>
      <c r="C3" s="11">
        <f>MemberOfAssemblyAssemblyDistrict5General[[#This Row],[Part of Suffolk County Vote Results]]</f>
        <v>17668</v>
      </c>
      <c r="D3" s="12">
        <f>MemberOfAssemblyAssemblyDistrict5General[[#This Row],[Total Votes by Party]]</f>
        <v>17668</v>
      </c>
    </row>
    <row r="4" spans="1:4" x14ac:dyDescent="0.2">
      <c r="A4" s="2" t="s">
        <v>96</v>
      </c>
      <c r="B4" s="3">
        <v>21745</v>
      </c>
      <c r="C4" s="11">
        <f>MemberOfAssemblyAssemblyDistrict5General[[#This Row],[Part of Suffolk County Vote Results]]</f>
        <v>21745</v>
      </c>
      <c r="D4" s="12">
        <f>SUM(C4:C7)</f>
        <v>25075</v>
      </c>
    </row>
    <row r="5" spans="1:4" x14ac:dyDescent="0.2">
      <c r="A5" s="2" t="s">
        <v>97</v>
      </c>
      <c r="B5" s="3">
        <v>2551</v>
      </c>
      <c r="C5" s="11">
        <f>MemberOfAssemblyAssemblyDistrict5General[[#This Row],[Part of Suffolk County Vote Results]]</f>
        <v>2551</v>
      </c>
      <c r="D5" s="13"/>
    </row>
    <row r="6" spans="1:4" x14ac:dyDescent="0.2">
      <c r="A6" s="2" t="s">
        <v>98</v>
      </c>
      <c r="B6" s="3">
        <v>653</v>
      </c>
      <c r="C6" s="11">
        <f>MemberOfAssemblyAssemblyDistrict5General[[#This Row],[Part of Suffolk County Vote Results]]</f>
        <v>653</v>
      </c>
      <c r="D6" s="13"/>
    </row>
    <row r="7" spans="1:4" x14ac:dyDescent="0.2">
      <c r="A7" s="2" t="s">
        <v>99</v>
      </c>
      <c r="B7" s="3">
        <v>126</v>
      </c>
      <c r="C7" s="11">
        <f>MemberOfAssemblyAssemblyDistrict5General[[#This Row],[Part of Suffolk County Vote Results]]</f>
        <v>126</v>
      </c>
      <c r="D7" s="13"/>
    </row>
    <row r="8" spans="1:4" x14ac:dyDescent="0.2">
      <c r="A8" s="4" t="s">
        <v>0</v>
      </c>
      <c r="B8" s="5">
        <v>2001</v>
      </c>
      <c r="C8" s="11">
        <f>MemberOfAssemblyAssemblyDistrict5General[[#This Row],[Part of Suffolk County Vote Results]]</f>
        <v>2001</v>
      </c>
      <c r="D8" s="13"/>
    </row>
    <row r="9" spans="1:4" x14ac:dyDescent="0.2">
      <c r="A9" s="4" t="s">
        <v>1</v>
      </c>
      <c r="B9" s="5">
        <v>10</v>
      </c>
      <c r="C9" s="11">
        <f>MemberOfAssemblyAssemblyDistrict5General[[#This Row],[Part of Suffolk County Vote Results]]</f>
        <v>10</v>
      </c>
      <c r="D9" s="13"/>
    </row>
    <row r="10" spans="1:4" x14ac:dyDescent="0.2">
      <c r="A10" s="4" t="s">
        <v>2</v>
      </c>
      <c r="B10" s="5">
        <v>13</v>
      </c>
      <c r="C10" s="11">
        <f>MemberOfAssemblyAssemblyDistrict5General[[#This Row],[Part of Suffolk County Vote Results]]</f>
        <v>13</v>
      </c>
      <c r="D10" s="13"/>
    </row>
    <row r="11" spans="1:4" hidden="1" x14ac:dyDescent="0.2">
      <c r="A11" s="4" t="s">
        <v>3</v>
      </c>
      <c r="B11" s="6">
        <f>SUBTOTAL(109,MemberOfAssemblyAssemblyDistrict5General[Total Votes by Candidate])</f>
        <v>42743</v>
      </c>
      <c r="C11" s="11">
        <f>MemberOfAssemblyAssemblyDistrict4General[[#This Row],[Part of Suffolk County Vote Results]]</f>
        <v>7</v>
      </c>
      <c r="D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7F8D-1449-4CF7-9523-B5F0CA00539D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340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341</v>
      </c>
      <c r="B3" s="3">
        <v>29147</v>
      </c>
      <c r="C3" s="11">
        <f>MemberOfAssemblyAssemblyDistrict50General[[#This Row],[Part of Kings County Vote Results]]</f>
        <v>29147</v>
      </c>
      <c r="D3" s="12">
        <f>MemberOfAssemblyAssemblyDistrict50General[[#This Row],[Total Votes by Party]]</f>
        <v>29147</v>
      </c>
    </row>
    <row r="4" spans="1:4" x14ac:dyDescent="0.2">
      <c r="A4" s="4" t="s">
        <v>0</v>
      </c>
      <c r="B4" s="5">
        <v>3373</v>
      </c>
      <c r="C4" s="11">
        <f>MemberOfAssemblyAssemblyDistrict50General[[#This Row],[Part of Kings County Vote Results]]</f>
        <v>3373</v>
      </c>
      <c r="D4" s="13"/>
    </row>
    <row r="5" spans="1:4" x14ac:dyDescent="0.2">
      <c r="A5" s="4" t="s">
        <v>1</v>
      </c>
      <c r="B5" s="5">
        <v>0</v>
      </c>
      <c r="C5" s="11">
        <f>MemberOfAssemblyAssemblyDistrict50General[[#This Row],[Part of Kings County Vote Results]]</f>
        <v>0</v>
      </c>
      <c r="D5" s="13"/>
    </row>
    <row r="6" spans="1:4" x14ac:dyDescent="0.2">
      <c r="A6" s="4" t="s">
        <v>2</v>
      </c>
      <c r="B6" s="5">
        <v>238</v>
      </c>
      <c r="C6" s="11">
        <f>MemberOfAssemblyAssemblyDistrict50General[[#This Row],[Part of Kings County Vote Results]]</f>
        <v>238</v>
      </c>
      <c r="D6" s="13"/>
    </row>
    <row r="7" spans="1:4" hidden="1" x14ac:dyDescent="0.2">
      <c r="A7" s="4" t="s">
        <v>3</v>
      </c>
      <c r="B7" s="6">
        <f>SUBTOTAL(109,MemberOfAssemblyAssemblyDistrict50General[Total Votes by Candidate])</f>
        <v>29147</v>
      </c>
      <c r="C7" s="11">
        <f>MemberOfAssemblyAssemblyDistrict49General[[#This Row],[Part of Kings County Vote Results]]</f>
        <v>1852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F781-66B3-4EF5-8D09-2F72F0904610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342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343</v>
      </c>
      <c r="B3" s="3">
        <v>20738</v>
      </c>
      <c r="C3" s="11">
        <f>MemberOfAssemblyAssemblyDistrict51General[[#This Row],[Part of Kings County Vote Results]]</f>
        <v>20738</v>
      </c>
      <c r="D3" s="12">
        <f>MemberOfAssemblyAssemblyDistrict51General[[#This Row],[Total Votes by Party]]</f>
        <v>20738</v>
      </c>
    </row>
    <row r="4" spans="1:4" x14ac:dyDescent="0.2">
      <c r="A4" s="4" t="s">
        <v>0</v>
      </c>
      <c r="B4" s="5">
        <v>3056</v>
      </c>
      <c r="C4" s="11">
        <f>MemberOfAssemblyAssemblyDistrict51General[[#This Row],[Part of Kings County Vote Results]]</f>
        <v>3056</v>
      </c>
      <c r="D4" s="13"/>
    </row>
    <row r="5" spans="1:4" x14ac:dyDescent="0.2">
      <c r="A5" s="4" t="s">
        <v>1</v>
      </c>
      <c r="B5" s="5">
        <v>0</v>
      </c>
      <c r="C5" s="11">
        <f>MemberOfAssemblyAssemblyDistrict51General[[#This Row],[Part of Kings County Vote Results]]</f>
        <v>0</v>
      </c>
      <c r="D5" s="13"/>
    </row>
    <row r="6" spans="1:4" x14ac:dyDescent="0.2">
      <c r="A6" s="4" t="s">
        <v>2</v>
      </c>
      <c r="B6" s="5">
        <v>232</v>
      </c>
      <c r="C6" s="11">
        <f>MemberOfAssemblyAssemblyDistrict51General[[#This Row],[Part of Kings County Vote Results]]</f>
        <v>232</v>
      </c>
      <c r="D6" s="13"/>
    </row>
    <row r="7" spans="1:4" hidden="1" x14ac:dyDescent="0.2">
      <c r="A7" s="4" t="s">
        <v>3</v>
      </c>
      <c r="B7" s="6">
        <f>SUBTOTAL(109,MemberOfAssemblyAssemblyDistrict51General[Total Votes by Candidate])</f>
        <v>20738</v>
      </c>
      <c r="C7" s="11">
        <f>MemberOfAssemblyAssemblyDistrict49General[[#This Row],[Part of Kings County Vote Results]]</f>
        <v>1852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D3FB-DDD2-469E-AC3F-16AD11B606D2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344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345</v>
      </c>
      <c r="B3" s="3">
        <v>48656</v>
      </c>
      <c r="C3" s="11">
        <f>MemberOfAssemblyAssemblyDistrict52General[[#This Row],[Part of Kings County Vote Results]]</f>
        <v>48656</v>
      </c>
      <c r="D3" s="12">
        <f>SUM(MemberOfAssemblyAssemblyDistrict52General[[#This Row],[Total Votes by Party]],C5)</f>
        <v>56309</v>
      </c>
    </row>
    <row r="4" spans="1:4" x14ac:dyDescent="0.2">
      <c r="A4" s="2" t="s">
        <v>346</v>
      </c>
      <c r="B4" s="3">
        <v>1988</v>
      </c>
      <c r="C4" s="11">
        <f>MemberOfAssemblyAssemblyDistrict52General[[#This Row],[Part of Kings County Vote Results]]</f>
        <v>1988</v>
      </c>
      <c r="D4" s="12">
        <f>MemberOfAssemblyAssemblyDistrict52General[[#This Row],[Total Votes by Party]]</f>
        <v>1988</v>
      </c>
    </row>
    <row r="5" spans="1:4" x14ac:dyDescent="0.2">
      <c r="A5" s="2" t="s">
        <v>347</v>
      </c>
      <c r="B5" s="3">
        <v>7653</v>
      </c>
      <c r="C5" s="11">
        <f>MemberOfAssemblyAssemblyDistrict52General[[#This Row],[Part of Kings County Vote Results]]</f>
        <v>7653</v>
      </c>
      <c r="D5" s="13"/>
    </row>
    <row r="6" spans="1:4" x14ac:dyDescent="0.2">
      <c r="A6" s="2" t="s">
        <v>348</v>
      </c>
      <c r="B6" s="3">
        <v>667</v>
      </c>
      <c r="C6" s="11">
        <f>MemberOfAssemblyAssemblyDistrict52General[[#This Row],[Part of Kings County Vote Results]]</f>
        <v>667</v>
      </c>
      <c r="D6" s="12">
        <f>MemberOfAssemblyAssemblyDistrict52General[[#This Row],[Total Votes by Party]]</f>
        <v>667</v>
      </c>
    </row>
    <row r="7" spans="1:4" x14ac:dyDescent="0.2">
      <c r="A7" s="4" t="s">
        <v>0</v>
      </c>
      <c r="B7" s="5">
        <v>2458</v>
      </c>
      <c r="C7" s="11">
        <f>MemberOfAssemblyAssemblyDistrict52General[[#This Row],[Part of Kings County Vote Results]]</f>
        <v>2458</v>
      </c>
      <c r="D7" s="13"/>
    </row>
    <row r="8" spans="1:4" x14ac:dyDescent="0.2">
      <c r="A8" s="4" t="s">
        <v>1</v>
      </c>
      <c r="B8" s="5">
        <v>0</v>
      </c>
      <c r="C8" s="11">
        <f>MemberOfAssemblyAssemblyDistrict52General[[#This Row],[Part of Kings County Vote Results]]</f>
        <v>0</v>
      </c>
      <c r="D8" s="13"/>
    </row>
    <row r="9" spans="1:4" x14ac:dyDescent="0.2">
      <c r="A9" s="4" t="s">
        <v>2</v>
      </c>
      <c r="B9" s="5">
        <v>56</v>
      </c>
      <c r="C9" s="11">
        <f>MemberOfAssemblyAssemblyDistrict52General[[#This Row],[Part of Kings County Vote Results]]</f>
        <v>56</v>
      </c>
      <c r="D9" s="13"/>
    </row>
    <row r="10" spans="1:4" hidden="1" x14ac:dyDescent="0.2">
      <c r="A10" s="4" t="s">
        <v>3</v>
      </c>
      <c r="B10" s="6">
        <f>SUBTOTAL(109,MemberOfAssemblyAssemblyDistrict52General[Total Votes by Candidate])</f>
        <v>58964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C093-3478-4A5F-B93C-5059858EBD30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349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866</v>
      </c>
      <c r="B3" s="3">
        <v>27580</v>
      </c>
      <c r="C3" s="11">
        <f>MemberOfAssemblyAssemblyDistrict53General[[#This Row],[Part of Kings County Vote Results]]</f>
        <v>27580</v>
      </c>
      <c r="D3" s="12">
        <f>SUM(C3:C4)</f>
        <v>30074</v>
      </c>
    </row>
    <row r="4" spans="1:4" x14ac:dyDescent="0.2">
      <c r="A4" s="2" t="s">
        <v>867</v>
      </c>
      <c r="B4" s="3">
        <v>2494</v>
      </c>
      <c r="C4" s="11">
        <f>MemberOfAssemblyAssemblyDistrict53General[[#This Row],[Part of Kings County Vote Results]]</f>
        <v>2494</v>
      </c>
      <c r="D4" s="13"/>
    </row>
    <row r="5" spans="1:4" x14ac:dyDescent="0.2">
      <c r="A5" s="4" t="s">
        <v>0</v>
      </c>
      <c r="B5" s="5">
        <v>2160</v>
      </c>
      <c r="C5" s="11">
        <f>MemberOfAssemblyAssemblyDistrict53General[[#This Row],[Part of Kings County Vote Results]]</f>
        <v>2160</v>
      </c>
      <c r="D5" s="13"/>
    </row>
    <row r="6" spans="1:4" x14ac:dyDescent="0.2">
      <c r="A6" s="4" t="s">
        <v>1</v>
      </c>
      <c r="B6" s="5">
        <v>0</v>
      </c>
      <c r="C6" s="11">
        <f>MemberOfAssemblyAssemblyDistrict53General[[#This Row],[Part of Kings County Vote Results]]</f>
        <v>0</v>
      </c>
      <c r="D6" s="13"/>
    </row>
    <row r="7" spans="1:4" x14ac:dyDescent="0.2">
      <c r="A7" s="4" t="s">
        <v>2</v>
      </c>
      <c r="B7" s="5">
        <v>124</v>
      </c>
      <c r="C7" s="11">
        <f>MemberOfAssemblyAssemblyDistrict53General[[#This Row],[Part of Kings County Vote Results]]</f>
        <v>124</v>
      </c>
      <c r="D7" s="13"/>
    </row>
    <row r="8" spans="1:4" hidden="1" x14ac:dyDescent="0.2">
      <c r="A8" s="4" t="s">
        <v>3</v>
      </c>
      <c r="B8" s="6">
        <f>SUBTOTAL(109,MemberOfAssemblyAssemblyDistrict53General[Total Votes by Candidate])</f>
        <v>30074</v>
      </c>
      <c r="C8" s="11">
        <f>MemberOfAssemblyAssemblyDistrict52General[[#This Row],[Part of Kings County Vote Results]]</f>
        <v>0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0416-3485-4525-B0AE-4AF69F70F7A6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350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351</v>
      </c>
      <c r="B3" s="3">
        <v>22659</v>
      </c>
      <c r="C3" s="11">
        <f>MemberOfAssemblyAssemblyDistrict54General[[#This Row],[Part of Kings County Vote Results]]</f>
        <v>22659</v>
      </c>
      <c r="D3" s="12">
        <f>MemberOfAssemblyAssemblyDistrict54General[[#This Row],[Total Votes by Party]]</f>
        <v>22659</v>
      </c>
    </row>
    <row r="4" spans="1:4" x14ac:dyDescent="0.2">
      <c r="A4" s="2" t="s">
        <v>352</v>
      </c>
      <c r="B4" s="3">
        <v>885</v>
      </c>
      <c r="C4" s="11">
        <f>MemberOfAssemblyAssemblyDistrict54General[[#This Row],[Part of Kings County Vote Results]]</f>
        <v>885</v>
      </c>
      <c r="D4" s="12">
        <f>SUM(C4:C5)</f>
        <v>1083</v>
      </c>
    </row>
    <row r="5" spans="1:4" x14ac:dyDescent="0.2">
      <c r="A5" s="2" t="s">
        <v>353</v>
      </c>
      <c r="B5" s="3">
        <v>198</v>
      </c>
      <c r="C5" s="11">
        <f>MemberOfAssemblyAssemblyDistrict54General[[#This Row],[Part of Kings County Vote Results]]</f>
        <v>198</v>
      </c>
      <c r="D5" s="13"/>
    </row>
    <row r="6" spans="1:4" x14ac:dyDescent="0.2">
      <c r="A6" s="4" t="s">
        <v>0</v>
      </c>
      <c r="B6" s="5">
        <v>1028</v>
      </c>
      <c r="C6" s="11">
        <f>MemberOfAssemblyAssemblyDistrict54General[[#This Row],[Part of Kings County Vote Results]]</f>
        <v>1028</v>
      </c>
      <c r="D6" s="13"/>
    </row>
    <row r="7" spans="1:4" x14ac:dyDescent="0.2">
      <c r="A7" s="4" t="s">
        <v>1</v>
      </c>
      <c r="B7" s="5">
        <v>0</v>
      </c>
      <c r="C7" s="11">
        <f>MemberOfAssemblyAssemblyDistrict54General[[#This Row],[Part of Kings County Vote Results]]</f>
        <v>0</v>
      </c>
      <c r="D7" s="13"/>
    </row>
    <row r="8" spans="1:4" x14ac:dyDescent="0.2">
      <c r="A8" s="4" t="s">
        <v>2</v>
      </c>
      <c r="B8" s="5">
        <v>51</v>
      </c>
      <c r="C8" s="11">
        <f>MemberOfAssemblyAssemblyDistrict54General[[#This Row],[Part of Kings County Vote Results]]</f>
        <v>51</v>
      </c>
      <c r="D8" s="13"/>
    </row>
    <row r="9" spans="1:4" hidden="1" x14ac:dyDescent="0.2">
      <c r="A9" s="4" t="s">
        <v>3</v>
      </c>
      <c r="B9" s="6">
        <f>SUBTOTAL(109,MemberOfAssemblyAssemblyDistrict54General[Total Votes by Candidate])</f>
        <v>23742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810B-01C4-4867-8008-C6BF1935481A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354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355</v>
      </c>
      <c r="B3" s="3">
        <v>27045</v>
      </c>
      <c r="C3" s="11">
        <f>MemberOfAssemblyAssemblyDistrict55General[[#This Row],[Part of Kings County Vote Results]]</f>
        <v>27045</v>
      </c>
      <c r="D3" s="12">
        <f>SUM(MemberOfAssemblyAssemblyDistrict55General[[#This Row],[Total Votes by Party]],C5)</f>
        <v>27910</v>
      </c>
    </row>
    <row r="4" spans="1:4" x14ac:dyDescent="0.2">
      <c r="A4" s="2" t="s">
        <v>356</v>
      </c>
      <c r="B4" s="3">
        <v>513</v>
      </c>
      <c r="C4" s="11">
        <f>MemberOfAssemblyAssemblyDistrict55General[[#This Row],[Part of Kings County Vote Results]]</f>
        <v>513</v>
      </c>
      <c r="D4" s="12">
        <f>MemberOfAssemblyAssemblyDistrict55General[[#This Row],[Total Votes by Party]]</f>
        <v>513</v>
      </c>
    </row>
    <row r="5" spans="1:4" x14ac:dyDescent="0.2">
      <c r="A5" s="2" t="s">
        <v>357</v>
      </c>
      <c r="B5" s="3">
        <v>865</v>
      </c>
      <c r="C5" s="11">
        <f>MemberOfAssemblyAssemblyDistrict55General[[#This Row],[Part of Kings County Vote Results]]</f>
        <v>865</v>
      </c>
      <c r="D5" s="13"/>
    </row>
    <row r="6" spans="1:4" x14ac:dyDescent="0.2">
      <c r="A6" s="4" t="s">
        <v>0</v>
      </c>
      <c r="B6" s="5">
        <v>1036</v>
      </c>
      <c r="C6" s="11">
        <f>MemberOfAssemblyAssemblyDistrict55General[[#This Row],[Part of Kings County Vote Results]]</f>
        <v>1036</v>
      </c>
      <c r="D6" s="13"/>
    </row>
    <row r="7" spans="1:4" x14ac:dyDescent="0.2">
      <c r="A7" s="4" t="s">
        <v>1</v>
      </c>
      <c r="B7" s="5">
        <v>0</v>
      </c>
      <c r="C7" s="11">
        <f>MemberOfAssemblyAssemblyDistrict55General[[#This Row],[Part of Kings County Vote Results]]</f>
        <v>0</v>
      </c>
      <c r="D7" s="13"/>
    </row>
    <row r="8" spans="1:4" x14ac:dyDescent="0.2">
      <c r="A8" s="4" t="s">
        <v>2</v>
      </c>
      <c r="B8" s="5">
        <v>14</v>
      </c>
      <c r="C8" s="11">
        <f>MemberOfAssemblyAssemblyDistrict55General[[#This Row],[Part of Kings County Vote Results]]</f>
        <v>14</v>
      </c>
      <c r="D8" s="13"/>
    </row>
    <row r="9" spans="1:4" hidden="1" x14ac:dyDescent="0.2">
      <c r="A9" s="4" t="s">
        <v>3</v>
      </c>
      <c r="B9" s="6">
        <f>SUBTOTAL(109,MemberOfAssemblyAssemblyDistrict55General[Total Votes by Candidate])</f>
        <v>28423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BC34-BCF8-4D04-B3AA-5048E07D285A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358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359</v>
      </c>
      <c r="B3" s="3">
        <v>33678</v>
      </c>
      <c r="C3" s="11">
        <f>MemberOfAssemblyAssemblyDistrict56General[[#This Row],[Part of Kings County Vote Results]]</f>
        <v>33678</v>
      </c>
      <c r="D3" s="12">
        <f>SUM(C3:C4)</f>
        <v>36519</v>
      </c>
    </row>
    <row r="4" spans="1:4" x14ac:dyDescent="0.2">
      <c r="A4" s="2" t="s">
        <v>360</v>
      </c>
      <c r="B4" s="3">
        <v>2841</v>
      </c>
      <c r="C4" s="11">
        <f>MemberOfAssemblyAssemblyDistrict56General[[#This Row],[Part of Kings County Vote Results]]</f>
        <v>2841</v>
      </c>
      <c r="D4" s="13"/>
    </row>
    <row r="5" spans="1:4" x14ac:dyDescent="0.2">
      <c r="A5" s="4" t="s">
        <v>0</v>
      </c>
      <c r="B5" s="5">
        <v>1918</v>
      </c>
      <c r="C5" s="11">
        <f>MemberOfAssemblyAssemblyDistrict56General[[#This Row],[Part of Kings County Vote Results]]</f>
        <v>1918</v>
      </c>
      <c r="D5" s="13"/>
    </row>
    <row r="6" spans="1:4" x14ac:dyDescent="0.2">
      <c r="A6" s="4" t="s">
        <v>1</v>
      </c>
      <c r="B6" s="5">
        <v>0</v>
      </c>
      <c r="C6" s="11">
        <f>MemberOfAssemblyAssemblyDistrict56General[[#This Row],[Part of Kings County Vote Results]]</f>
        <v>0</v>
      </c>
      <c r="D6" s="13"/>
    </row>
    <row r="7" spans="1:4" x14ac:dyDescent="0.2">
      <c r="A7" s="4" t="s">
        <v>2</v>
      </c>
      <c r="B7" s="5">
        <v>78</v>
      </c>
      <c r="C7" s="11">
        <f>MemberOfAssemblyAssemblyDistrict56General[[#This Row],[Part of Kings County Vote Results]]</f>
        <v>78</v>
      </c>
      <c r="D7" s="13"/>
    </row>
    <row r="8" spans="1:4" hidden="1" x14ac:dyDescent="0.2">
      <c r="A8" s="4" t="s">
        <v>3</v>
      </c>
      <c r="B8" s="6">
        <f>SUBTOTAL(109,MemberOfAssemblyAssemblyDistrict56General[Total Votes by Candidate])</f>
        <v>36519</v>
      </c>
      <c r="C8" s="11">
        <f>MemberOfAssemblyAssemblyDistrict55General[[#This Row],[Part of Kings County Vote Results]]</f>
        <v>14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D1A4-7CCD-43C5-BEC9-B8BDEBE46423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361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362</v>
      </c>
      <c r="B3" s="3">
        <v>43621</v>
      </c>
      <c r="C3" s="11">
        <f>MemberOfAssemblyAssemblyDistrict57General[[#This Row],[Part of Kings County Vote Results]]</f>
        <v>43621</v>
      </c>
      <c r="D3" s="12">
        <f>SUM(C3:C4)</f>
        <v>49478</v>
      </c>
    </row>
    <row r="4" spans="1:4" x14ac:dyDescent="0.2">
      <c r="A4" s="2" t="s">
        <v>363</v>
      </c>
      <c r="B4" s="3">
        <v>5857</v>
      </c>
      <c r="C4" s="11">
        <f>MemberOfAssemblyAssemblyDistrict57General[[#This Row],[Part of Kings County Vote Results]]</f>
        <v>5857</v>
      </c>
      <c r="D4" s="13"/>
    </row>
    <row r="5" spans="1:4" x14ac:dyDescent="0.2">
      <c r="A5" s="4" t="s">
        <v>0</v>
      </c>
      <c r="B5" s="5">
        <v>2363</v>
      </c>
      <c r="C5" s="11">
        <f>MemberOfAssemblyAssemblyDistrict57General[[#This Row],[Part of Kings County Vote Results]]</f>
        <v>2363</v>
      </c>
      <c r="D5" s="13"/>
    </row>
    <row r="6" spans="1:4" x14ac:dyDescent="0.2">
      <c r="A6" s="4" t="s">
        <v>1</v>
      </c>
      <c r="B6" s="5">
        <v>0</v>
      </c>
      <c r="C6" s="11">
        <f>MemberOfAssemblyAssemblyDistrict57General[[#This Row],[Part of Kings County Vote Results]]</f>
        <v>0</v>
      </c>
      <c r="D6" s="13"/>
    </row>
    <row r="7" spans="1:4" x14ac:dyDescent="0.2">
      <c r="A7" s="4" t="s">
        <v>2</v>
      </c>
      <c r="B7" s="5">
        <v>137</v>
      </c>
      <c r="C7" s="11">
        <f>MemberOfAssemblyAssemblyDistrict57General[[#This Row],[Part of Kings County Vote Results]]</f>
        <v>137</v>
      </c>
      <c r="D7" s="13"/>
    </row>
    <row r="8" spans="1:4" hidden="1" x14ac:dyDescent="0.2">
      <c r="A8" s="4" t="s">
        <v>3</v>
      </c>
      <c r="B8" s="6">
        <f>SUBTOTAL(109,MemberOfAssemblyAssemblyDistrict57General[Total Votes by Candidate])</f>
        <v>49478</v>
      </c>
      <c r="C8" s="11">
        <f>MemberOfAssemblyAssemblyDistrict55General[[#This Row],[Part of Kings County Vote Results]]</f>
        <v>14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D84B-8380-4157-B97E-E544DAFC3991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364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365</v>
      </c>
      <c r="B3" s="3">
        <v>32839</v>
      </c>
      <c r="C3" s="11">
        <f>MemberOfAssemblyAssemblyDistrict58General[[#This Row],[Part of Kings County Vote Results]]</f>
        <v>32839</v>
      </c>
      <c r="D3" s="12">
        <f>SUM(C3:C4)</f>
        <v>33491</v>
      </c>
    </row>
    <row r="4" spans="1:4" x14ac:dyDescent="0.2">
      <c r="A4" s="2" t="s">
        <v>366</v>
      </c>
      <c r="B4" s="3">
        <v>652</v>
      </c>
      <c r="C4" s="11">
        <f>MemberOfAssemblyAssemblyDistrict58General[[#This Row],[Part of Kings County Vote Results]]</f>
        <v>652</v>
      </c>
      <c r="D4" s="13"/>
    </row>
    <row r="5" spans="1:4" x14ac:dyDescent="0.2">
      <c r="A5" s="4" t="s">
        <v>0</v>
      </c>
      <c r="B5" s="5">
        <v>1624</v>
      </c>
      <c r="C5" s="11">
        <f>MemberOfAssemblyAssemblyDistrict58General[[#This Row],[Part of Kings County Vote Results]]</f>
        <v>1624</v>
      </c>
      <c r="D5" s="13"/>
    </row>
    <row r="6" spans="1:4" x14ac:dyDescent="0.2">
      <c r="A6" s="4" t="s">
        <v>1</v>
      </c>
      <c r="B6" s="5">
        <v>0</v>
      </c>
      <c r="C6" s="11">
        <f>MemberOfAssemblyAssemblyDistrict58General[[#This Row],[Part of Kings County Vote Results]]</f>
        <v>0</v>
      </c>
      <c r="D6" s="13"/>
    </row>
    <row r="7" spans="1:4" x14ac:dyDescent="0.2">
      <c r="A7" s="4" t="s">
        <v>2</v>
      </c>
      <c r="B7" s="5">
        <v>35</v>
      </c>
      <c r="C7" s="11">
        <f>MemberOfAssemblyAssemblyDistrict58General[[#This Row],[Part of Kings County Vote Results]]</f>
        <v>35</v>
      </c>
      <c r="D7" s="13"/>
    </row>
    <row r="8" spans="1:4" hidden="1" x14ac:dyDescent="0.2">
      <c r="A8" s="4" t="s">
        <v>3</v>
      </c>
      <c r="B8" s="6">
        <f>SUBTOTAL(109,MemberOfAssemblyAssemblyDistrict58General[Total Votes by Candidate])</f>
        <v>33491</v>
      </c>
      <c r="C8" s="11">
        <f>MemberOfAssemblyAssemblyDistrict55General[[#This Row],[Part of Kings County Vote Results]]</f>
        <v>14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4228-CABB-47E8-B6D4-3612CB1F5462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367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368</v>
      </c>
      <c r="B3" s="3">
        <v>26919</v>
      </c>
      <c r="C3" s="11">
        <f>MemberOfAssemblyAssemblyDistrict59General[[#This Row],[Part of Kings County Vote Results]]</f>
        <v>26919</v>
      </c>
      <c r="D3" s="12">
        <f>SUM(MemberOfAssemblyAssemblyDistrict59General[[#This Row],[Total Votes by Party]],C6)</f>
        <v>27524</v>
      </c>
    </row>
    <row r="4" spans="1:4" x14ac:dyDescent="0.2">
      <c r="A4" s="2" t="s">
        <v>369</v>
      </c>
      <c r="B4" s="3">
        <v>5767</v>
      </c>
      <c r="C4" s="11">
        <f>MemberOfAssemblyAssemblyDistrict59General[[#This Row],[Part of Kings County Vote Results]]</f>
        <v>5767</v>
      </c>
      <c r="D4" s="12">
        <f>SUM(C4:C5)</f>
        <v>6485</v>
      </c>
    </row>
    <row r="5" spans="1:4" x14ac:dyDescent="0.2">
      <c r="A5" s="2" t="s">
        <v>370</v>
      </c>
      <c r="B5" s="3">
        <v>718</v>
      </c>
      <c r="C5" s="11">
        <f>MemberOfAssemblyAssemblyDistrict59General[[#This Row],[Part of Kings County Vote Results]]</f>
        <v>718</v>
      </c>
      <c r="D5" s="13"/>
    </row>
    <row r="6" spans="1:4" x14ac:dyDescent="0.2">
      <c r="A6" s="2" t="s">
        <v>371</v>
      </c>
      <c r="B6" s="3">
        <v>605</v>
      </c>
      <c r="C6" s="11">
        <f>MemberOfAssemblyAssemblyDistrict59General[[#This Row],[Part of Kings County Vote Results]]</f>
        <v>605</v>
      </c>
      <c r="D6" s="13"/>
    </row>
    <row r="7" spans="1:4" x14ac:dyDescent="0.2">
      <c r="A7" s="4" t="s">
        <v>0</v>
      </c>
      <c r="B7" s="5">
        <v>1432</v>
      </c>
      <c r="C7" s="11">
        <f>MemberOfAssemblyAssemblyDistrict59General[[#This Row],[Part of Kings County Vote Results]]</f>
        <v>1432</v>
      </c>
      <c r="D7" s="13"/>
    </row>
    <row r="8" spans="1:4" x14ac:dyDescent="0.2">
      <c r="A8" s="4" t="s">
        <v>1</v>
      </c>
      <c r="B8" s="5">
        <v>0</v>
      </c>
      <c r="C8" s="11">
        <f>MemberOfAssemblyAssemblyDistrict59General[[#This Row],[Part of Kings County Vote Results]]</f>
        <v>0</v>
      </c>
      <c r="D8" s="13"/>
    </row>
    <row r="9" spans="1:4" x14ac:dyDescent="0.2">
      <c r="A9" s="4" t="s">
        <v>2</v>
      </c>
      <c r="B9" s="5">
        <v>10</v>
      </c>
      <c r="C9" s="11">
        <f>MemberOfAssemblyAssemblyDistrict59General[[#This Row],[Part of Kings County Vote Results]]</f>
        <v>10</v>
      </c>
      <c r="D9" s="13"/>
    </row>
    <row r="10" spans="1:4" hidden="1" x14ac:dyDescent="0.2">
      <c r="A10" s="4" t="s">
        <v>3</v>
      </c>
      <c r="B10" s="6">
        <f>SUBTOTAL(109,MemberOfAssemblyAssemblyDistrict59General[Total Votes by Candidate])</f>
        <v>34009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5C3B-27D1-422F-BDBD-8F98190608CA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100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101</v>
      </c>
      <c r="B3" s="3">
        <v>20027</v>
      </c>
      <c r="C3" s="11">
        <f>MemberOfAssemblyAssemblyDistrict6General[[#This Row],[Part of Suffolk County Vote Results]]</f>
        <v>20027</v>
      </c>
      <c r="D3" s="12">
        <f>SUM(C3:C7)</f>
        <v>21572</v>
      </c>
    </row>
    <row r="4" spans="1:4" x14ac:dyDescent="0.2">
      <c r="A4" s="2" t="s">
        <v>102</v>
      </c>
      <c r="B4" s="3">
        <v>732</v>
      </c>
      <c r="C4" s="11">
        <f>MemberOfAssemblyAssemblyDistrict6General[[#This Row],[Part of Suffolk County Vote Results]]</f>
        <v>732</v>
      </c>
      <c r="D4" s="13"/>
    </row>
    <row r="5" spans="1:4" x14ac:dyDescent="0.2">
      <c r="A5" s="2" t="s">
        <v>103</v>
      </c>
      <c r="B5" s="3">
        <v>516</v>
      </c>
      <c r="C5" s="11">
        <f>MemberOfAssemblyAssemblyDistrict6General[[#This Row],[Part of Suffolk County Vote Results]]</f>
        <v>516</v>
      </c>
      <c r="D5" s="13"/>
    </row>
    <row r="6" spans="1:4" x14ac:dyDescent="0.2">
      <c r="A6" s="2" t="s">
        <v>104</v>
      </c>
      <c r="B6" s="3">
        <v>188</v>
      </c>
      <c r="C6" s="11">
        <f>MemberOfAssemblyAssemblyDistrict6General[[#This Row],[Part of Suffolk County Vote Results]]</f>
        <v>188</v>
      </c>
      <c r="D6" s="13"/>
    </row>
    <row r="7" spans="1:4" x14ac:dyDescent="0.2">
      <c r="A7" s="2" t="s">
        <v>105</v>
      </c>
      <c r="B7" s="3">
        <v>109</v>
      </c>
      <c r="C7" s="11">
        <f>MemberOfAssemblyAssemblyDistrict6General[[#This Row],[Part of Suffolk County Vote Results]]</f>
        <v>109</v>
      </c>
      <c r="D7" s="13"/>
    </row>
    <row r="8" spans="1:4" x14ac:dyDescent="0.2">
      <c r="A8" s="4" t="s">
        <v>0</v>
      </c>
      <c r="B8" s="5">
        <v>5272</v>
      </c>
      <c r="C8" s="11">
        <f>MemberOfAssemblyAssemblyDistrict6General[[#This Row],[Part of Suffolk County Vote Results]]</f>
        <v>5272</v>
      </c>
      <c r="D8" s="13"/>
    </row>
    <row r="9" spans="1:4" x14ac:dyDescent="0.2">
      <c r="A9" s="4" t="s">
        <v>1</v>
      </c>
      <c r="B9" s="5">
        <v>0</v>
      </c>
      <c r="C9" s="11">
        <f>MemberOfAssemblyAssemblyDistrict6General[[#This Row],[Part of Suffolk County Vote Results]]</f>
        <v>0</v>
      </c>
      <c r="D9" s="13"/>
    </row>
    <row r="10" spans="1:4" x14ac:dyDescent="0.2">
      <c r="A10" s="4" t="s">
        <v>2</v>
      </c>
      <c r="B10" s="5">
        <v>83</v>
      </c>
      <c r="C10" s="11">
        <f>MemberOfAssemblyAssemblyDistrict6General[[#This Row],[Part of Suffolk County Vote Results]]</f>
        <v>83</v>
      </c>
      <c r="D10" s="13"/>
    </row>
    <row r="11" spans="1:4" hidden="1" x14ac:dyDescent="0.2">
      <c r="A11" s="4" t="s">
        <v>3</v>
      </c>
      <c r="B11" s="6">
        <f>SUBTOTAL(109,MemberOfAssemblyAssemblyDistrict6General[Total Votes by Candidate])</f>
        <v>21572</v>
      </c>
      <c r="C11" s="11">
        <f>MemberOfAssemblyAssemblyDistrict4General[[#This Row],[Part of Suffolk County Vote Results]]</f>
        <v>7</v>
      </c>
      <c r="D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44FA-852A-4298-82A7-E3AD2C6970D1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372</v>
      </c>
    </row>
    <row r="2" spans="1:4" ht="25.5" x14ac:dyDescent="0.2">
      <c r="A2" s="7" t="s">
        <v>5</v>
      </c>
      <c r="B2" s="8" t="s">
        <v>9</v>
      </c>
      <c r="C2" s="9" t="s">
        <v>869</v>
      </c>
      <c r="D2" s="10" t="s">
        <v>4</v>
      </c>
    </row>
    <row r="3" spans="1:4" x14ac:dyDescent="0.2">
      <c r="A3" s="2" t="s">
        <v>373</v>
      </c>
      <c r="B3" s="3">
        <v>28911</v>
      </c>
      <c r="C3" s="11">
        <f>MemberOfAssemblyAssemblyDistrict60General[[#This Row],[Part of Kings County Vote Results]]</f>
        <v>28911</v>
      </c>
      <c r="D3" s="12">
        <f>MemberOfAssemblyAssemblyDistrict60General[[#This Row],[Total Votes by Party]]</f>
        <v>28911</v>
      </c>
    </row>
    <row r="4" spans="1:4" x14ac:dyDescent="0.2">
      <c r="A4" s="2" t="s">
        <v>374</v>
      </c>
      <c r="B4" s="3">
        <v>839</v>
      </c>
      <c r="C4" s="11">
        <f>MemberOfAssemblyAssemblyDistrict60General[[#This Row],[Part of Kings County Vote Results]]</f>
        <v>839</v>
      </c>
      <c r="D4" s="12">
        <f>MemberOfAssemblyAssemblyDistrict60General[[#This Row],[Total Votes by Party]]</f>
        <v>839</v>
      </c>
    </row>
    <row r="5" spans="1:4" x14ac:dyDescent="0.2">
      <c r="A5" s="2" t="s">
        <v>375</v>
      </c>
      <c r="B5" s="3">
        <v>418</v>
      </c>
      <c r="C5" s="11">
        <f>MemberOfAssemblyAssemblyDistrict60General[[#This Row],[Part of Kings County Vote Results]]</f>
        <v>418</v>
      </c>
      <c r="D5" s="12">
        <f>MemberOfAssemblyAssemblyDistrict60General[[#This Row],[Total Votes by Party]]</f>
        <v>418</v>
      </c>
    </row>
    <row r="6" spans="1:4" x14ac:dyDescent="0.2">
      <c r="A6" s="4" t="s">
        <v>0</v>
      </c>
      <c r="B6" s="5">
        <v>1320</v>
      </c>
      <c r="C6" s="11">
        <f>MemberOfAssemblyAssemblyDistrict60General[[#This Row],[Part of Kings County Vote Results]]</f>
        <v>1320</v>
      </c>
      <c r="D6" s="13"/>
    </row>
    <row r="7" spans="1:4" x14ac:dyDescent="0.2">
      <c r="A7" s="4" t="s">
        <v>1</v>
      </c>
      <c r="B7" s="5">
        <v>0</v>
      </c>
      <c r="C7" s="11">
        <f>MemberOfAssemblyAssemblyDistrict60General[[#This Row],[Part of Kings County Vote Results]]</f>
        <v>0</v>
      </c>
      <c r="D7" s="13"/>
    </row>
    <row r="8" spans="1:4" x14ac:dyDescent="0.2">
      <c r="A8" s="4" t="s">
        <v>2</v>
      </c>
      <c r="B8" s="5">
        <v>41</v>
      </c>
      <c r="C8" s="11">
        <f>MemberOfAssemblyAssemblyDistrict60General[[#This Row],[Part of Kings County Vote Results]]</f>
        <v>41</v>
      </c>
      <c r="D8" s="13"/>
    </row>
    <row r="9" spans="1:4" hidden="1" x14ac:dyDescent="0.2">
      <c r="A9" s="4" t="s">
        <v>3</v>
      </c>
      <c r="B9" s="6">
        <f>SUBTOTAL(109,MemberOfAssemblyAssemblyDistrict60General[Total Votes by Candidate])</f>
        <v>30168</v>
      </c>
      <c r="C9" s="11">
        <f>MemberOfAssemblyAssemblyDistrict59General[[#This Row],[Part of Kings County Vote Results]]</f>
        <v>10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9AD6-DC5E-477E-A2AF-DFA66A1FA48D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376</v>
      </c>
    </row>
    <row r="2" spans="1:4" ht="25.5" x14ac:dyDescent="0.2">
      <c r="A2" s="7" t="s">
        <v>5</v>
      </c>
      <c r="B2" s="8" t="s">
        <v>10</v>
      </c>
      <c r="C2" s="9" t="s">
        <v>869</v>
      </c>
      <c r="D2" s="10" t="s">
        <v>4</v>
      </c>
    </row>
    <row r="3" spans="1:4" x14ac:dyDescent="0.2">
      <c r="A3" s="2" t="s">
        <v>377</v>
      </c>
      <c r="B3" s="3">
        <v>24561</v>
      </c>
      <c r="C3" s="11">
        <f>MemberOfAssemblyAssemblyDistrict61General[[#This Row],[Part of Richmond County Vote Results]]</f>
        <v>24561</v>
      </c>
      <c r="D3" s="12">
        <f>SUM(MemberOfAssemblyAssemblyDistrict61General[[#This Row],[Total Votes by Party]],C6)</f>
        <v>24986</v>
      </c>
    </row>
    <row r="4" spans="1:4" x14ac:dyDescent="0.2">
      <c r="A4" s="2" t="s">
        <v>378</v>
      </c>
      <c r="B4" s="3">
        <v>1672</v>
      </c>
      <c r="C4" s="11">
        <f>MemberOfAssemblyAssemblyDistrict61General[[#This Row],[Part of Richmond County Vote Results]]</f>
        <v>1672</v>
      </c>
      <c r="D4" s="12">
        <f>MemberOfAssemblyAssemblyDistrict61General[[#This Row],[Total Votes by Party]]</f>
        <v>1672</v>
      </c>
    </row>
    <row r="5" spans="1:4" x14ac:dyDescent="0.2">
      <c r="A5" s="2" t="s">
        <v>379</v>
      </c>
      <c r="B5" s="3">
        <v>2956</v>
      </c>
      <c r="C5" s="11">
        <f>MemberOfAssemblyAssemblyDistrict61General[[#This Row],[Part of Richmond County Vote Results]]</f>
        <v>2956</v>
      </c>
      <c r="D5" s="12">
        <f>MemberOfAssemblyAssemblyDistrict61General[[#This Row],[Total Votes by Party]]</f>
        <v>2956</v>
      </c>
    </row>
    <row r="6" spans="1:4" x14ac:dyDescent="0.2">
      <c r="A6" s="2" t="s">
        <v>380</v>
      </c>
      <c r="B6" s="3">
        <v>425</v>
      </c>
      <c r="C6" s="11">
        <f>MemberOfAssemblyAssemblyDistrict61General[[#This Row],[Part of Richmond County Vote Results]]</f>
        <v>425</v>
      </c>
      <c r="D6" s="13"/>
    </row>
    <row r="7" spans="1:4" x14ac:dyDescent="0.2">
      <c r="A7" s="4" t="s">
        <v>0</v>
      </c>
      <c r="B7" s="5">
        <v>6037</v>
      </c>
      <c r="C7" s="11">
        <f>MemberOfAssemblyAssemblyDistrict61General[[#This Row],[Part of Richmond County Vote Results]]</f>
        <v>6037</v>
      </c>
      <c r="D7" s="13"/>
    </row>
    <row r="8" spans="1:4" x14ac:dyDescent="0.2">
      <c r="A8" s="4" t="s">
        <v>1</v>
      </c>
      <c r="B8" s="5">
        <v>0</v>
      </c>
      <c r="C8" s="11">
        <f>MemberOfAssemblyAssemblyDistrict61General[[#This Row],[Part of Richmond County Vote Results]]</f>
        <v>0</v>
      </c>
      <c r="D8" s="13"/>
    </row>
    <row r="9" spans="1:4" x14ac:dyDescent="0.2">
      <c r="A9" s="4" t="s">
        <v>2</v>
      </c>
      <c r="B9" s="5">
        <v>130</v>
      </c>
      <c r="C9" s="11">
        <f>MemberOfAssemblyAssemblyDistrict61General[[#This Row],[Part of Richmond County Vote Results]]</f>
        <v>130</v>
      </c>
      <c r="D9" s="13"/>
    </row>
    <row r="10" spans="1:4" hidden="1" x14ac:dyDescent="0.2">
      <c r="A10" s="4" t="s">
        <v>3</v>
      </c>
      <c r="B10" s="6">
        <f>SUBTOTAL(109,MemberOfAssemblyAssemblyDistrict61General[Total Votes by Candidate])</f>
        <v>29614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B411-CCFA-46AD-A205-DDACD8DBBBC6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381</v>
      </c>
    </row>
    <row r="2" spans="1:4" ht="25.5" x14ac:dyDescent="0.2">
      <c r="A2" s="7" t="s">
        <v>5</v>
      </c>
      <c r="B2" s="8" t="s">
        <v>10</v>
      </c>
      <c r="C2" s="9" t="s">
        <v>869</v>
      </c>
      <c r="D2" s="10" t="s">
        <v>4</v>
      </c>
    </row>
    <row r="3" spans="1:4" x14ac:dyDescent="0.2">
      <c r="A3" s="2" t="s">
        <v>382</v>
      </c>
      <c r="B3" s="3">
        <v>28533</v>
      </c>
      <c r="C3" s="11">
        <f>MemberOfAssemblyAssemblyDistrict62General[[#This Row],[Part of Richmond County Vote Results]]</f>
        <v>28533</v>
      </c>
      <c r="D3" s="12">
        <f>SUM(C3:C4)</f>
        <v>31482</v>
      </c>
    </row>
    <row r="4" spans="1:4" x14ac:dyDescent="0.2">
      <c r="A4" s="2" t="s">
        <v>383</v>
      </c>
      <c r="B4" s="3">
        <v>2949</v>
      </c>
      <c r="C4" s="11">
        <f>MemberOfAssemblyAssemblyDistrict62General[[#This Row],[Part of Richmond County Vote Results]]</f>
        <v>2949</v>
      </c>
      <c r="D4" s="13"/>
    </row>
    <row r="5" spans="1:4" x14ac:dyDescent="0.2">
      <c r="A5" s="2" t="s">
        <v>384</v>
      </c>
      <c r="B5" s="3">
        <v>3484</v>
      </c>
      <c r="C5" s="11">
        <f>MemberOfAssemblyAssemblyDistrict62General[[#This Row],[Part of Richmond County Vote Results]]</f>
        <v>3484</v>
      </c>
      <c r="D5" s="12">
        <f>MemberOfAssemblyAssemblyDistrict62General[[#This Row],[Total Votes by Party]]</f>
        <v>3484</v>
      </c>
    </row>
    <row r="6" spans="1:4" x14ac:dyDescent="0.2">
      <c r="A6" s="4" t="s">
        <v>0</v>
      </c>
      <c r="B6" s="5">
        <v>5711</v>
      </c>
      <c r="C6" s="11">
        <f>MemberOfAssemblyAssemblyDistrict62General[[#This Row],[Part of Richmond County Vote Results]]</f>
        <v>5711</v>
      </c>
      <c r="D6" s="13"/>
    </row>
    <row r="7" spans="1:4" x14ac:dyDescent="0.2">
      <c r="A7" s="4" t="s">
        <v>1</v>
      </c>
      <c r="B7" s="5">
        <v>0</v>
      </c>
      <c r="C7" s="11">
        <f>MemberOfAssemblyAssemblyDistrict62General[[#This Row],[Part of Richmond County Vote Results]]</f>
        <v>0</v>
      </c>
      <c r="D7" s="13"/>
    </row>
    <row r="8" spans="1:4" x14ac:dyDescent="0.2">
      <c r="A8" s="4" t="s">
        <v>2</v>
      </c>
      <c r="B8" s="5">
        <v>285</v>
      </c>
      <c r="C8" s="11">
        <f>MemberOfAssemblyAssemblyDistrict62General[[#This Row],[Part of Richmond County Vote Results]]</f>
        <v>285</v>
      </c>
      <c r="D8" s="13"/>
    </row>
    <row r="9" spans="1:4" hidden="1" x14ac:dyDescent="0.2">
      <c r="A9" s="4" t="s">
        <v>3</v>
      </c>
      <c r="B9" s="6">
        <f>SUBTOTAL(109,MemberOfAssemblyAssemblyDistrict62General[Total Votes by Candidate])</f>
        <v>34966</v>
      </c>
      <c r="C9" s="11">
        <f>MemberOfAssemblyAssemblyDistrict61General[[#This Row],[Part of Richmond County Vote Results]]</f>
        <v>130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8FAE-F85A-4AA5-A900-804A15B7E715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385</v>
      </c>
    </row>
    <row r="2" spans="1:4" ht="25.5" x14ac:dyDescent="0.2">
      <c r="A2" s="7" t="s">
        <v>5</v>
      </c>
      <c r="B2" s="8" t="s">
        <v>10</v>
      </c>
      <c r="C2" s="9" t="s">
        <v>869</v>
      </c>
      <c r="D2" s="10" t="s">
        <v>4</v>
      </c>
    </row>
    <row r="3" spans="1:4" x14ac:dyDescent="0.2">
      <c r="A3" s="2" t="s">
        <v>386</v>
      </c>
      <c r="B3" s="3">
        <v>20204</v>
      </c>
      <c r="C3" s="11">
        <f>MemberOfAssemblyAssemblyDistrict63General[[#This Row],[Part of Richmond County Vote Results]]</f>
        <v>20204</v>
      </c>
      <c r="D3" s="12">
        <f>SUM(C3:C4,C6:C7)</f>
        <v>27337</v>
      </c>
    </row>
    <row r="4" spans="1:4" x14ac:dyDescent="0.2">
      <c r="A4" s="2" t="s">
        <v>387</v>
      </c>
      <c r="B4" s="3">
        <v>5712</v>
      </c>
      <c r="C4" s="11">
        <f>MemberOfAssemblyAssemblyDistrict63General[[#This Row],[Part of Richmond County Vote Results]]</f>
        <v>5712</v>
      </c>
      <c r="D4" s="13"/>
    </row>
    <row r="5" spans="1:4" x14ac:dyDescent="0.2">
      <c r="A5" s="2" t="s">
        <v>388</v>
      </c>
      <c r="B5" s="3">
        <v>1244</v>
      </c>
      <c r="C5" s="11">
        <f>MemberOfAssemblyAssemblyDistrict63General[[#This Row],[Part of Richmond County Vote Results]]</f>
        <v>1244</v>
      </c>
      <c r="D5" s="12">
        <f>MemberOfAssemblyAssemblyDistrict63General[[#This Row],[Total Votes by Party]]</f>
        <v>1244</v>
      </c>
    </row>
    <row r="6" spans="1:4" x14ac:dyDescent="0.2">
      <c r="A6" s="2" t="s">
        <v>389</v>
      </c>
      <c r="B6" s="3">
        <v>1113</v>
      </c>
      <c r="C6" s="11">
        <f>MemberOfAssemblyAssemblyDistrict63General[[#This Row],[Part of Richmond County Vote Results]]</f>
        <v>1113</v>
      </c>
      <c r="D6" s="13"/>
    </row>
    <row r="7" spans="1:4" x14ac:dyDescent="0.2">
      <c r="A7" s="2" t="s">
        <v>390</v>
      </c>
      <c r="B7" s="3">
        <v>308</v>
      </c>
      <c r="C7" s="11">
        <f>MemberOfAssemblyAssemblyDistrict63General[[#This Row],[Part of Richmond County Vote Results]]</f>
        <v>308</v>
      </c>
      <c r="D7" s="13"/>
    </row>
    <row r="8" spans="1:4" x14ac:dyDescent="0.2">
      <c r="A8" s="4" t="s">
        <v>0</v>
      </c>
      <c r="B8" s="5">
        <v>8176</v>
      </c>
      <c r="C8" s="11">
        <f>MemberOfAssemblyAssemblyDistrict63General[[#This Row],[Part of Richmond County Vote Results]]</f>
        <v>8176</v>
      </c>
      <c r="D8" s="13"/>
    </row>
    <row r="9" spans="1:4" x14ac:dyDescent="0.2">
      <c r="A9" s="4" t="s">
        <v>1</v>
      </c>
      <c r="B9" s="5">
        <v>0</v>
      </c>
      <c r="C9" s="11">
        <f>MemberOfAssemblyAssemblyDistrict63General[[#This Row],[Part of Richmond County Vote Results]]</f>
        <v>0</v>
      </c>
      <c r="D9" s="13"/>
    </row>
    <row r="10" spans="1:4" x14ac:dyDescent="0.2">
      <c r="A10" s="4" t="s">
        <v>2</v>
      </c>
      <c r="B10" s="5">
        <v>123</v>
      </c>
      <c r="C10" s="11">
        <f>MemberOfAssemblyAssemblyDistrict63General[[#This Row],[Part of Richmond County Vote Results]]</f>
        <v>123</v>
      </c>
      <c r="D10" s="13"/>
    </row>
    <row r="11" spans="1:4" hidden="1" x14ac:dyDescent="0.2">
      <c r="A11" s="4" t="s">
        <v>3</v>
      </c>
      <c r="B11" s="6">
        <f>SUBTOTAL(109,MemberOfAssemblyAssemblyDistrict63General[Total Votes by Candidate])</f>
        <v>28581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D206-6EB7-49DE-833D-D648FC6FE750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391</v>
      </c>
    </row>
    <row r="2" spans="1:5" ht="25.5" x14ac:dyDescent="0.2">
      <c r="A2" s="7" t="s">
        <v>5</v>
      </c>
      <c r="B2" s="8" t="s">
        <v>9</v>
      </c>
      <c r="C2" s="8" t="s">
        <v>10</v>
      </c>
      <c r="D2" s="9" t="s">
        <v>869</v>
      </c>
      <c r="E2" s="10" t="s">
        <v>4</v>
      </c>
    </row>
    <row r="3" spans="1:5" x14ac:dyDescent="0.2">
      <c r="A3" s="2" t="s">
        <v>392</v>
      </c>
      <c r="B3" s="3">
        <v>5170</v>
      </c>
      <c r="C3" s="3">
        <v>8668</v>
      </c>
      <c r="D3" s="11">
        <f>SUM(MemberOfAssemblyAssemblyDistrict64General[[#This Row],[Part of Kings County Vote Results]:[Part of Richmond County Vote Results]])</f>
        <v>13838</v>
      </c>
      <c r="E3" s="12">
        <f>MemberOfAssemblyAssemblyDistrict64General[[#This Row],[Total Votes by Party]]</f>
        <v>13838</v>
      </c>
    </row>
    <row r="4" spans="1:5" x14ac:dyDescent="0.2">
      <c r="A4" s="2" t="s">
        <v>393</v>
      </c>
      <c r="B4" s="3">
        <v>2689</v>
      </c>
      <c r="C4" s="3">
        <v>15282</v>
      </c>
      <c r="D4" s="11">
        <f>SUM(MemberOfAssemblyAssemblyDistrict64General[[#This Row],[Part of Kings County Vote Results]:[Part of Richmond County Vote Results]])</f>
        <v>17971</v>
      </c>
      <c r="E4" s="12">
        <f>SUM(D4:D7)</f>
        <v>20893</v>
      </c>
    </row>
    <row r="5" spans="1:5" x14ac:dyDescent="0.2">
      <c r="A5" s="2" t="s">
        <v>394</v>
      </c>
      <c r="B5" s="3">
        <v>367</v>
      </c>
      <c r="C5" s="3">
        <v>1468</v>
      </c>
      <c r="D5" s="11">
        <f>SUM(MemberOfAssemblyAssemblyDistrict64General[[#This Row],[Part of Kings County Vote Results]:[Part of Richmond County Vote Results]])</f>
        <v>1835</v>
      </c>
      <c r="E5" s="13"/>
    </row>
    <row r="6" spans="1:5" x14ac:dyDescent="0.2">
      <c r="A6" s="2" t="s">
        <v>395</v>
      </c>
      <c r="B6" s="3">
        <v>185</v>
      </c>
      <c r="C6" s="3">
        <v>676</v>
      </c>
      <c r="D6" s="11">
        <f>SUM(MemberOfAssemblyAssemblyDistrict64General[[#This Row],[Part of Kings County Vote Results]:[Part of Richmond County Vote Results]])</f>
        <v>861</v>
      </c>
      <c r="E6" s="13"/>
    </row>
    <row r="7" spans="1:5" x14ac:dyDescent="0.2">
      <c r="A7" s="2" t="s">
        <v>396</v>
      </c>
      <c r="B7" s="3">
        <v>35</v>
      </c>
      <c r="C7" s="3">
        <v>191</v>
      </c>
      <c r="D7" s="11">
        <f>SUM(MemberOfAssemblyAssemblyDistrict64General[[#This Row],[Part of Kings County Vote Results]:[Part of Richmond County Vote Results]])</f>
        <v>226</v>
      </c>
      <c r="E7" s="13"/>
    </row>
    <row r="8" spans="1:5" x14ac:dyDescent="0.2">
      <c r="A8" s="4" t="s">
        <v>0</v>
      </c>
      <c r="B8" s="3">
        <v>313</v>
      </c>
      <c r="C8" s="3">
        <v>581</v>
      </c>
      <c r="D8" s="11">
        <f>SUM(MemberOfAssemblyAssemblyDistrict64General[[#This Row],[Part of Kings County Vote Results]:[Part of Richmond County Vote Results]])</f>
        <v>894</v>
      </c>
      <c r="E8" s="13"/>
    </row>
    <row r="9" spans="1:5" x14ac:dyDescent="0.2">
      <c r="A9" s="4" t="s">
        <v>1</v>
      </c>
      <c r="B9" s="3">
        <v>0</v>
      </c>
      <c r="C9" s="3">
        <v>0</v>
      </c>
      <c r="D9" s="11">
        <f>SUM(MemberOfAssemblyAssemblyDistrict64General[[#This Row],[Part of Kings County Vote Results]:[Part of Richmond County Vote Results]])</f>
        <v>0</v>
      </c>
      <c r="E9" s="13"/>
    </row>
    <row r="10" spans="1:5" x14ac:dyDescent="0.2">
      <c r="A10" s="4" t="s">
        <v>2</v>
      </c>
      <c r="B10" s="5">
        <v>11</v>
      </c>
      <c r="C10" s="5">
        <v>29</v>
      </c>
      <c r="D10" s="11">
        <f>SUM(MemberOfAssemblyAssemblyDistrict64General[[#This Row],[Part of Kings County Vote Results]:[Part of Richmond County Vote Results]])</f>
        <v>40</v>
      </c>
      <c r="E10" s="13"/>
    </row>
    <row r="11" spans="1:5" hidden="1" x14ac:dyDescent="0.2">
      <c r="A11" s="4" t="s">
        <v>3</v>
      </c>
      <c r="B11" s="6">
        <f>SUBTOTAL(109,MemberOfAssemblyAssemblyDistrict64General[Part of Kings County Vote Results])</f>
        <v>8770</v>
      </c>
      <c r="C11" s="6">
        <f>SUBTOTAL(109,MemberOfAssemblyAssemblyDistrict64General[Part of Richmond County Vote Results])</f>
        <v>26895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D9B6-5E86-4BC4-AD60-7AB51F5894B9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397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398</v>
      </c>
      <c r="B3" s="3">
        <v>28755</v>
      </c>
      <c r="C3" s="11">
        <f>MemberOfAssemblyAssemblyDistrict65General[[#This Row],[Part of New York County Vote Results]]</f>
        <v>28755</v>
      </c>
      <c r="D3" s="12">
        <f>SUM(C3:C4)</f>
        <v>30961</v>
      </c>
    </row>
    <row r="4" spans="1:4" x14ac:dyDescent="0.2">
      <c r="A4" s="2" t="s">
        <v>399</v>
      </c>
      <c r="B4" s="3">
        <v>2206</v>
      </c>
      <c r="C4" s="11">
        <f>MemberOfAssemblyAssemblyDistrict65General[[#This Row],[Part of New York County Vote Results]]</f>
        <v>2206</v>
      </c>
      <c r="D4" s="13"/>
    </row>
    <row r="5" spans="1:4" x14ac:dyDescent="0.2">
      <c r="A5" s="4" t="s">
        <v>0</v>
      </c>
      <c r="B5" s="5">
        <v>4634</v>
      </c>
      <c r="C5" s="11">
        <f>MemberOfAssemblyAssemblyDistrict65General[[#This Row],[Part of New York County Vote Results]]</f>
        <v>4634</v>
      </c>
      <c r="D5" s="13"/>
    </row>
    <row r="6" spans="1:4" x14ac:dyDescent="0.2">
      <c r="A6" s="4" t="s">
        <v>1</v>
      </c>
      <c r="B6" s="5">
        <v>0</v>
      </c>
      <c r="C6" s="11">
        <f>MemberOfAssemblyAssemblyDistrict65General[[#This Row],[Part of New York County Vote Results]]</f>
        <v>0</v>
      </c>
      <c r="D6" s="13"/>
    </row>
    <row r="7" spans="1:4" x14ac:dyDescent="0.2">
      <c r="A7" s="4" t="s">
        <v>2</v>
      </c>
      <c r="B7" s="5">
        <v>264</v>
      </c>
      <c r="C7" s="11">
        <f>MemberOfAssemblyAssemblyDistrict65General[[#This Row],[Part of New York County Vote Results]]</f>
        <v>264</v>
      </c>
      <c r="D7" s="13"/>
    </row>
    <row r="8" spans="1:4" hidden="1" x14ac:dyDescent="0.2">
      <c r="A8" s="4" t="s">
        <v>3</v>
      </c>
      <c r="B8" s="6">
        <f>SUBTOTAL(109,MemberOfAssemblyAssemblyDistrict65General[Total Votes by Candidate])</f>
        <v>30961</v>
      </c>
      <c r="C8" s="11">
        <f>SUM(MemberOfAssemblyAssemblyDistrict64General[[#This Row],[Part of Kings County Vote Results]:[Part of Richmond County Vote Results]])</f>
        <v>894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29F7-8987-4DCC-9C36-7C036E11A2B8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400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401</v>
      </c>
      <c r="B3" s="3">
        <v>37419</v>
      </c>
      <c r="C3" s="11">
        <f>MemberOfAssemblyAssemblyDistrict66General[[#This Row],[Part of New York County Vote Results]]</f>
        <v>37419</v>
      </c>
      <c r="D3" s="12">
        <f>MemberOfAssemblyAssemblyDistrict66General[[#This Row],[Total Votes by Party]]</f>
        <v>37419</v>
      </c>
    </row>
    <row r="4" spans="1:4" x14ac:dyDescent="0.2">
      <c r="A4" s="2" t="s">
        <v>402</v>
      </c>
      <c r="B4" s="3">
        <v>8013</v>
      </c>
      <c r="C4" s="11">
        <f>MemberOfAssemblyAssemblyDistrict66General[[#This Row],[Part of New York County Vote Results]]</f>
        <v>8013</v>
      </c>
      <c r="D4" s="12">
        <f>MemberOfAssemblyAssemblyDistrict66General[[#This Row],[Total Votes by Party]]</f>
        <v>8013</v>
      </c>
    </row>
    <row r="5" spans="1:4" x14ac:dyDescent="0.2">
      <c r="A5" s="4" t="s">
        <v>0</v>
      </c>
      <c r="B5" s="5">
        <v>3428</v>
      </c>
      <c r="C5" s="11">
        <f>MemberOfAssemblyAssemblyDistrict66General[[#This Row],[Part of New York County Vote Results]]</f>
        <v>3428</v>
      </c>
      <c r="D5" s="13"/>
    </row>
    <row r="6" spans="1:4" x14ac:dyDescent="0.2">
      <c r="A6" s="4" t="s">
        <v>1</v>
      </c>
      <c r="B6" s="5">
        <v>0</v>
      </c>
      <c r="C6" s="11">
        <f>MemberOfAssemblyAssemblyDistrict66General[[#This Row],[Part of New York County Vote Results]]</f>
        <v>0</v>
      </c>
      <c r="D6" s="13"/>
    </row>
    <row r="7" spans="1:4" x14ac:dyDescent="0.2">
      <c r="A7" s="4" t="s">
        <v>2</v>
      </c>
      <c r="B7" s="5">
        <v>234</v>
      </c>
      <c r="C7" s="11">
        <f>MemberOfAssemblyAssemblyDistrict66General[[#This Row],[Part of New York County Vote Results]]</f>
        <v>234</v>
      </c>
      <c r="D7" s="13"/>
    </row>
    <row r="8" spans="1:4" hidden="1" x14ac:dyDescent="0.2">
      <c r="A8" s="4" t="s">
        <v>3</v>
      </c>
      <c r="B8" s="6">
        <f>SUBTOTAL(109,MemberOfAssemblyAssemblyDistrict66General[Total Votes by Candidate])</f>
        <v>45432</v>
      </c>
      <c r="C8" s="11">
        <f>SUM(MemberOfAssemblyAssemblyDistrict64General[[#This Row],[Part of Kings County Vote Results]:[Part of Richmond County Vote Results]])</f>
        <v>894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C252-0CD4-446F-9C6C-DE22461F3F65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403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404</v>
      </c>
      <c r="B3" s="3">
        <v>46981</v>
      </c>
      <c r="C3" s="11">
        <f>MemberOfAssemblyAssemblyDistrict67General[[#This Row],[Part of New York County Vote Results]]</f>
        <v>46981</v>
      </c>
      <c r="D3" s="12">
        <f>SUM(C3:C4)</f>
        <v>49768</v>
      </c>
    </row>
    <row r="4" spans="1:4" x14ac:dyDescent="0.2">
      <c r="A4" s="2" t="s">
        <v>405</v>
      </c>
      <c r="B4" s="3">
        <v>2787</v>
      </c>
      <c r="C4" s="11">
        <f>MemberOfAssemblyAssemblyDistrict67General[[#This Row],[Part of New York County Vote Results]]</f>
        <v>2787</v>
      </c>
      <c r="D4" s="13"/>
    </row>
    <row r="5" spans="1:4" x14ac:dyDescent="0.2">
      <c r="A5" s="4" t="s">
        <v>0</v>
      </c>
      <c r="B5" s="5">
        <v>5479</v>
      </c>
      <c r="C5" s="11">
        <f>MemberOfAssemblyAssemblyDistrict67General[[#This Row],[Part of New York County Vote Results]]</f>
        <v>5479</v>
      </c>
      <c r="D5" s="13"/>
    </row>
    <row r="6" spans="1:4" x14ac:dyDescent="0.2">
      <c r="A6" s="4" t="s">
        <v>1</v>
      </c>
      <c r="B6" s="5">
        <v>0</v>
      </c>
      <c r="C6" s="11">
        <f>MemberOfAssemblyAssemblyDistrict67General[[#This Row],[Part of New York County Vote Results]]</f>
        <v>0</v>
      </c>
      <c r="D6" s="13"/>
    </row>
    <row r="7" spans="1:4" x14ac:dyDescent="0.2">
      <c r="A7" s="4" t="s">
        <v>2</v>
      </c>
      <c r="B7" s="5">
        <v>390</v>
      </c>
      <c r="C7" s="11">
        <f>MemberOfAssemblyAssemblyDistrict67General[[#This Row],[Part of New York County Vote Results]]</f>
        <v>390</v>
      </c>
      <c r="D7" s="13"/>
    </row>
    <row r="8" spans="1:4" hidden="1" x14ac:dyDescent="0.2">
      <c r="A8" s="4" t="s">
        <v>3</v>
      </c>
      <c r="B8" s="6">
        <f>SUBTOTAL(109,MemberOfAssemblyAssemblyDistrict67General[Total Votes by Candidate])</f>
        <v>49768</v>
      </c>
      <c r="C8" s="11">
        <f>SUM(MemberOfAssemblyAssemblyDistrict64General[[#This Row],[Part of Kings County Vote Results]:[Part of Richmond County Vote Results]])</f>
        <v>894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2D75-194A-4685-9FC7-AEED5765906F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406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407</v>
      </c>
      <c r="B3" s="3">
        <v>32140</v>
      </c>
      <c r="C3" s="11">
        <f>MemberOfAssemblyAssemblyDistrict68General[[#This Row],[Part of New York County Vote Results]]</f>
        <v>32140</v>
      </c>
      <c r="D3" s="12">
        <f>MemberOfAssemblyAssemblyDistrict68General[[#This Row],[Total Votes by Party]]</f>
        <v>32140</v>
      </c>
    </row>
    <row r="4" spans="1:4" x14ac:dyDescent="0.2">
      <c r="A4" s="2" t="s">
        <v>408</v>
      </c>
      <c r="B4" s="3">
        <v>2168</v>
      </c>
      <c r="C4" s="11">
        <f>MemberOfAssemblyAssemblyDistrict68General[[#This Row],[Part of New York County Vote Results]]</f>
        <v>2168</v>
      </c>
      <c r="D4" s="12">
        <f>SUM(C4:C5)</f>
        <v>2346</v>
      </c>
    </row>
    <row r="5" spans="1:4" x14ac:dyDescent="0.2">
      <c r="A5" s="2" t="s">
        <v>409</v>
      </c>
      <c r="B5" s="3">
        <v>178</v>
      </c>
      <c r="C5" s="11">
        <f>MemberOfAssemblyAssemblyDistrict68General[[#This Row],[Part of New York County Vote Results]]</f>
        <v>178</v>
      </c>
      <c r="D5" s="13"/>
    </row>
    <row r="6" spans="1:4" x14ac:dyDescent="0.2">
      <c r="A6" s="4" t="s">
        <v>0</v>
      </c>
      <c r="B6" s="5">
        <v>1795</v>
      </c>
      <c r="C6" s="11">
        <f>MemberOfAssemblyAssemblyDistrict68General[[#This Row],[Part of New York County Vote Results]]</f>
        <v>1795</v>
      </c>
      <c r="D6" s="13"/>
    </row>
    <row r="7" spans="1:4" x14ac:dyDescent="0.2">
      <c r="A7" s="4" t="s">
        <v>1</v>
      </c>
      <c r="B7" s="5">
        <v>0</v>
      </c>
      <c r="C7" s="11">
        <f>MemberOfAssemblyAssemblyDistrict68General[[#This Row],[Part of New York County Vote Results]]</f>
        <v>0</v>
      </c>
      <c r="D7" s="13"/>
    </row>
    <row r="8" spans="1:4" x14ac:dyDescent="0.2">
      <c r="A8" s="4" t="s">
        <v>2</v>
      </c>
      <c r="B8" s="5">
        <v>46</v>
      </c>
      <c r="C8" s="11">
        <f>MemberOfAssemblyAssemblyDistrict68General[[#This Row],[Part of New York County Vote Results]]</f>
        <v>46</v>
      </c>
      <c r="D8" s="13"/>
    </row>
    <row r="9" spans="1:4" hidden="1" x14ac:dyDescent="0.2">
      <c r="A9" s="4" t="s">
        <v>3</v>
      </c>
      <c r="B9" s="6">
        <f>SUBTOTAL(109,MemberOfAssemblyAssemblyDistrict68General[Total Votes by Candidate])</f>
        <v>34486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CC8A-BE33-44B9-BA84-E9C799344738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410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411</v>
      </c>
      <c r="B3" s="3">
        <v>44788</v>
      </c>
      <c r="C3" s="11">
        <f>MemberOfAssemblyAssemblyDistrict69General[[#This Row],[Part of New York County Vote Results]]</f>
        <v>44788</v>
      </c>
      <c r="D3" s="12">
        <f>MemberOfAssemblyAssemblyDistrict69General[[#This Row],[Total Votes by Party]]</f>
        <v>44788</v>
      </c>
    </row>
    <row r="4" spans="1:4" x14ac:dyDescent="0.2">
      <c r="A4" s="2" t="s">
        <v>412</v>
      </c>
      <c r="B4" s="3">
        <v>3379</v>
      </c>
      <c r="C4" s="11">
        <f>MemberOfAssemblyAssemblyDistrict69General[[#This Row],[Part of New York County Vote Results]]</f>
        <v>3379</v>
      </c>
      <c r="D4" s="12">
        <f>MemberOfAssemblyAssemblyDistrict69General[[#This Row],[Total Votes by Party]]</f>
        <v>3379</v>
      </c>
    </row>
    <row r="5" spans="1:4" x14ac:dyDescent="0.2">
      <c r="A5" s="4" t="s">
        <v>0</v>
      </c>
      <c r="B5" s="5">
        <v>2521</v>
      </c>
      <c r="C5" s="11">
        <f>MemberOfAssemblyAssemblyDistrict69General[[#This Row],[Part of New York County Vote Results]]</f>
        <v>2521</v>
      </c>
      <c r="D5" s="13"/>
    </row>
    <row r="6" spans="1:4" x14ac:dyDescent="0.2">
      <c r="A6" s="4" t="s">
        <v>1</v>
      </c>
      <c r="B6" s="5">
        <v>0</v>
      </c>
      <c r="C6" s="11">
        <f>MemberOfAssemblyAssemblyDistrict69General[[#This Row],[Part of New York County Vote Results]]</f>
        <v>0</v>
      </c>
      <c r="D6" s="13"/>
    </row>
    <row r="7" spans="1:4" x14ac:dyDescent="0.2">
      <c r="A7" s="4" t="s">
        <v>2</v>
      </c>
      <c r="B7" s="5">
        <v>65</v>
      </c>
      <c r="C7" s="11">
        <f>MemberOfAssemblyAssemblyDistrict69General[[#This Row],[Part of New York County Vote Results]]</f>
        <v>65</v>
      </c>
      <c r="D7" s="13"/>
    </row>
    <row r="8" spans="1:4" hidden="1" x14ac:dyDescent="0.2">
      <c r="A8" s="4" t="s">
        <v>3</v>
      </c>
      <c r="B8" s="6">
        <f>SUBTOTAL(109,MemberOfAssemblyAssemblyDistrict69General[Total Votes by Candidate])</f>
        <v>48167</v>
      </c>
      <c r="C8" s="11">
        <f>MemberOfAssemblyAssemblyDistrict68General[[#This Row],[Part of New York County Vote Results]]</f>
        <v>46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3C83-58E0-4470-A351-DF416BDDC311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106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107</v>
      </c>
      <c r="B3" s="3">
        <v>20452</v>
      </c>
      <c r="C3" s="11">
        <f>MemberOfAssemblyAssemblyDistrict7General[[#This Row],[Part of Suffolk County Vote Results]]</f>
        <v>20452</v>
      </c>
      <c r="D3" s="12">
        <f>MemberOfAssemblyAssemblyDistrict7General[[#This Row],[Total Votes by Party]]</f>
        <v>20452</v>
      </c>
    </row>
    <row r="4" spans="1:4" x14ac:dyDescent="0.2">
      <c r="A4" s="2" t="s">
        <v>108</v>
      </c>
      <c r="B4" s="3">
        <v>24552</v>
      </c>
      <c r="C4" s="11">
        <f>MemberOfAssemblyAssemblyDistrict7General[[#This Row],[Part of Suffolk County Vote Results]]</f>
        <v>24552</v>
      </c>
      <c r="D4" s="12">
        <f>SUM(C4:C8)</f>
        <v>29075</v>
      </c>
    </row>
    <row r="5" spans="1:4" x14ac:dyDescent="0.2">
      <c r="A5" s="2" t="s">
        <v>109</v>
      </c>
      <c r="B5" s="3">
        <v>3257</v>
      </c>
      <c r="C5" s="11">
        <f>MemberOfAssemblyAssemblyDistrict7General[[#This Row],[Part of Suffolk County Vote Results]]</f>
        <v>3257</v>
      </c>
      <c r="D5" s="13"/>
    </row>
    <row r="6" spans="1:4" x14ac:dyDescent="0.2">
      <c r="A6" s="2" t="s">
        <v>110</v>
      </c>
      <c r="B6" s="3">
        <v>813</v>
      </c>
      <c r="C6" s="11">
        <f>MemberOfAssemblyAssemblyDistrict7General[[#This Row],[Part of Suffolk County Vote Results]]</f>
        <v>813</v>
      </c>
      <c r="D6" s="13"/>
    </row>
    <row r="7" spans="1:4" x14ac:dyDescent="0.2">
      <c r="A7" s="2" t="s">
        <v>111</v>
      </c>
      <c r="B7" s="3">
        <v>348</v>
      </c>
      <c r="C7" s="11">
        <f>MemberOfAssemblyAssemblyDistrict7General[[#This Row],[Part of Suffolk County Vote Results]]</f>
        <v>348</v>
      </c>
      <c r="D7" s="13"/>
    </row>
    <row r="8" spans="1:4" x14ac:dyDescent="0.2">
      <c r="A8" s="2" t="s">
        <v>112</v>
      </c>
      <c r="B8" s="3">
        <v>105</v>
      </c>
      <c r="C8" s="11">
        <f>MemberOfAssemblyAssemblyDistrict7General[[#This Row],[Part of Suffolk County Vote Results]]</f>
        <v>105</v>
      </c>
      <c r="D8" s="13"/>
    </row>
    <row r="9" spans="1:4" x14ac:dyDescent="0.2">
      <c r="A9" s="4" t="s">
        <v>0</v>
      </c>
      <c r="B9" s="5">
        <v>1645</v>
      </c>
      <c r="C9" s="11">
        <f>MemberOfAssemblyAssemblyDistrict7General[[#This Row],[Part of Suffolk County Vote Results]]</f>
        <v>1645</v>
      </c>
      <c r="D9" s="13"/>
    </row>
    <row r="10" spans="1:4" x14ac:dyDescent="0.2">
      <c r="A10" s="4" t="s">
        <v>1</v>
      </c>
      <c r="B10" s="5">
        <v>14</v>
      </c>
      <c r="C10" s="11">
        <f>MemberOfAssemblyAssemblyDistrict7General[[#This Row],[Part of Suffolk County Vote Results]]</f>
        <v>14</v>
      </c>
      <c r="D10" s="13"/>
    </row>
    <row r="11" spans="1:4" x14ac:dyDescent="0.2">
      <c r="A11" s="4" t="s">
        <v>2</v>
      </c>
      <c r="B11" s="5">
        <v>13</v>
      </c>
      <c r="C11" s="11">
        <f>MemberOfAssemblyAssemblyDistrict7General[[#This Row],[Part of Suffolk County Vote Results]]</f>
        <v>13</v>
      </c>
      <c r="D11" s="13"/>
    </row>
    <row r="12" spans="1:4" hidden="1" x14ac:dyDescent="0.2">
      <c r="A12" s="4" t="s">
        <v>3</v>
      </c>
      <c r="B12" s="6">
        <f>SUBTOTAL(109,MemberOfAssemblyAssemblyDistrict7General[Total Votes by Candidate])</f>
        <v>49527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F441-BDB0-4929-9DF8-49E47150004C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413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414</v>
      </c>
      <c r="B3" s="3">
        <v>40447</v>
      </c>
      <c r="C3" s="11">
        <f>MemberOfAssemblyAssemblyDistrict70General[[#This Row],[Part of New York County Vote Results]]</f>
        <v>40447</v>
      </c>
      <c r="D3" s="12">
        <f>MemberOfAssemblyAssemblyDistrict70General[[#This Row],[Total Votes by Party]]</f>
        <v>40447</v>
      </c>
    </row>
    <row r="4" spans="1:4" x14ac:dyDescent="0.2">
      <c r="A4" s="4" t="s">
        <v>0</v>
      </c>
      <c r="B4" s="5">
        <v>3892</v>
      </c>
      <c r="C4" s="11">
        <f>MemberOfAssemblyAssemblyDistrict70General[[#This Row],[Part of New York County Vote Results]]</f>
        <v>3892</v>
      </c>
      <c r="D4" s="13"/>
    </row>
    <row r="5" spans="1:4" x14ac:dyDescent="0.2">
      <c r="A5" s="4" t="s">
        <v>1</v>
      </c>
      <c r="B5" s="5">
        <v>0</v>
      </c>
      <c r="C5" s="11">
        <f>MemberOfAssemblyAssemblyDistrict70General[[#This Row],[Part of New York County Vote Results]]</f>
        <v>0</v>
      </c>
      <c r="D5" s="13"/>
    </row>
    <row r="6" spans="1:4" x14ac:dyDescent="0.2">
      <c r="A6" s="4" t="s">
        <v>2</v>
      </c>
      <c r="B6" s="5">
        <v>278</v>
      </c>
      <c r="C6" s="11">
        <f>MemberOfAssemblyAssemblyDistrict70General[[#This Row],[Part of New York County Vote Results]]</f>
        <v>278</v>
      </c>
      <c r="D6" s="13"/>
    </row>
    <row r="7" spans="1:4" hidden="1" x14ac:dyDescent="0.2">
      <c r="A7" s="4" t="s">
        <v>3</v>
      </c>
      <c r="B7" s="6">
        <f>SUBTOTAL(109,MemberOfAssemblyAssemblyDistrict70General[Total Votes by Candidate])</f>
        <v>40447</v>
      </c>
      <c r="C7" s="11">
        <f>MemberOfAssemblyAssemblyDistrict69General[[#This Row],[Part of New York County Vote Results]]</f>
        <v>65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3E80-0AA2-47F8-B024-FCB869EDB192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415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416</v>
      </c>
      <c r="B3" s="3">
        <v>36311</v>
      </c>
      <c r="C3" s="11">
        <f>MemberOfAssemblyAssemblyDistrict71General[[#This Row],[Part of New York County Vote Results]]</f>
        <v>36311</v>
      </c>
      <c r="D3" s="12">
        <f>SUM(C3:C4)</f>
        <v>38898</v>
      </c>
    </row>
    <row r="4" spans="1:4" x14ac:dyDescent="0.2">
      <c r="A4" s="2" t="s">
        <v>417</v>
      </c>
      <c r="B4" s="3">
        <v>2587</v>
      </c>
      <c r="C4" s="11">
        <f>MemberOfAssemblyAssemblyDistrict71General[[#This Row],[Part of New York County Vote Results]]</f>
        <v>2587</v>
      </c>
      <c r="D4" s="13"/>
    </row>
    <row r="5" spans="1:4" x14ac:dyDescent="0.2">
      <c r="A5" s="4" t="s">
        <v>0</v>
      </c>
      <c r="B5" s="5">
        <v>3864</v>
      </c>
      <c r="C5" s="11">
        <f>MemberOfAssemblyAssemblyDistrict71General[[#This Row],[Part of New York County Vote Results]]</f>
        <v>3864</v>
      </c>
      <c r="D5" s="13"/>
    </row>
    <row r="6" spans="1:4" x14ac:dyDescent="0.2">
      <c r="A6" s="4" t="s">
        <v>1</v>
      </c>
      <c r="B6" s="5">
        <v>0</v>
      </c>
      <c r="C6" s="11">
        <f>MemberOfAssemblyAssemblyDistrict71General[[#This Row],[Part of New York County Vote Results]]</f>
        <v>0</v>
      </c>
      <c r="D6" s="13"/>
    </row>
    <row r="7" spans="1:4" x14ac:dyDescent="0.2">
      <c r="A7" s="4" t="s">
        <v>2</v>
      </c>
      <c r="B7" s="5">
        <v>142</v>
      </c>
      <c r="C7" s="11">
        <f>MemberOfAssemblyAssemblyDistrict71General[[#This Row],[Part of New York County Vote Results]]</f>
        <v>142</v>
      </c>
      <c r="D7" s="13"/>
    </row>
    <row r="8" spans="1:4" hidden="1" x14ac:dyDescent="0.2">
      <c r="A8" s="4" t="s">
        <v>3</v>
      </c>
      <c r="B8" s="6">
        <f>SUBTOTAL(109,MemberOfAssemblyAssemblyDistrict71General[Total Votes by Candidate])</f>
        <v>38898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ECF0-05F9-4CBA-96DD-D8CC500E69D2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418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419</v>
      </c>
      <c r="B3" s="3">
        <v>29346</v>
      </c>
      <c r="C3" s="11">
        <f>MemberOfAssemblyAssemblyDistrict72General[[#This Row],[Part of New York County Vote Results]]</f>
        <v>29346</v>
      </c>
      <c r="D3" s="12">
        <f>SUM(MemberOfAssemblyAssemblyDistrict72General[[#This Row],[Total Votes by Party]],C5)</f>
        <v>31317</v>
      </c>
    </row>
    <row r="4" spans="1:4" x14ac:dyDescent="0.2">
      <c r="A4" s="2" t="s">
        <v>420</v>
      </c>
      <c r="B4" s="3">
        <v>1841</v>
      </c>
      <c r="C4" s="11">
        <f>MemberOfAssemblyAssemblyDistrict72General[[#This Row],[Part of New York County Vote Results]]</f>
        <v>1841</v>
      </c>
      <c r="D4" s="12">
        <f>MemberOfAssemblyAssemblyDistrict72General[[#This Row],[Total Votes by Party]]</f>
        <v>1841</v>
      </c>
    </row>
    <row r="5" spans="1:4" x14ac:dyDescent="0.2">
      <c r="A5" s="2" t="s">
        <v>421</v>
      </c>
      <c r="B5" s="3">
        <v>1971</v>
      </c>
      <c r="C5" s="11">
        <f>MemberOfAssemblyAssemblyDistrict72General[[#This Row],[Part of New York County Vote Results]]</f>
        <v>1971</v>
      </c>
      <c r="D5" s="13"/>
    </row>
    <row r="6" spans="1:4" x14ac:dyDescent="0.2">
      <c r="A6" s="4" t="s">
        <v>0</v>
      </c>
      <c r="B6" s="5">
        <v>1653</v>
      </c>
      <c r="C6" s="11">
        <f>MemberOfAssemblyAssemblyDistrict72General[[#This Row],[Part of New York County Vote Results]]</f>
        <v>1653</v>
      </c>
      <c r="D6" s="13"/>
    </row>
    <row r="7" spans="1:4" x14ac:dyDescent="0.2">
      <c r="A7" s="4" t="s">
        <v>1</v>
      </c>
      <c r="B7" s="5">
        <v>0</v>
      </c>
      <c r="C7" s="11">
        <f>MemberOfAssemblyAssemblyDistrict72General[[#This Row],[Part of New York County Vote Results]]</f>
        <v>0</v>
      </c>
      <c r="D7" s="13"/>
    </row>
    <row r="8" spans="1:4" x14ac:dyDescent="0.2">
      <c r="A8" s="4" t="s">
        <v>2</v>
      </c>
      <c r="B8" s="5">
        <v>63</v>
      </c>
      <c r="C8" s="11">
        <f>MemberOfAssemblyAssemblyDistrict72General[[#This Row],[Part of New York County Vote Results]]</f>
        <v>63</v>
      </c>
      <c r="D8" s="13"/>
    </row>
    <row r="9" spans="1:4" hidden="1" x14ac:dyDescent="0.2">
      <c r="A9" s="4" t="s">
        <v>3</v>
      </c>
      <c r="B9" s="6">
        <f>SUBTOTAL(109,MemberOfAssemblyAssemblyDistrict72General[Total Votes by Candidate])</f>
        <v>33158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B1AB-D814-44B5-9F00-017D72C36E62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422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423</v>
      </c>
      <c r="B3" s="3">
        <v>35224</v>
      </c>
      <c r="C3" s="11">
        <f>MemberOfAssemblyAssemblyDistrict73General[[#This Row],[Part of New York County Vote Results]]</f>
        <v>35224</v>
      </c>
      <c r="D3" s="12">
        <f>SUM(MemberOfAssemblyAssemblyDistrict73General[[#This Row],[Total Votes by Party]],C5)</f>
        <v>36181</v>
      </c>
    </row>
    <row r="4" spans="1:4" x14ac:dyDescent="0.2">
      <c r="A4" s="2" t="s">
        <v>424</v>
      </c>
      <c r="B4" s="3">
        <v>10618</v>
      </c>
      <c r="C4" s="11">
        <f>MemberOfAssemblyAssemblyDistrict73General[[#This Row],[Part of New York County Vote Results]]</f>
        <v>10618</v>
      </c>
      <c r="D4" s="12">
        <f>SUM(MemberOfAssemblyAssemblyDistrict73General[[#This Row],[Total Votes by Party]],C6:C7)</f>
        <v>11320</v>
      </c>
    </row>
    <row r="5" spans="1:4" x14ac:dyDescent="0.2">
      <c r="A5" s="2" t="s">
        <v>425</v>
      </c>
      <c r="B5" s="3">
        <v>957</v>
      </c>
      <c r="C5" s="11">
        <f>MemberOfAssemblyAssemblyDistrict73General[[#This Row],[Part of New York County Vote Results]]</f>
        <v>957</v>
      </c>
      <c r="D5" s="13"/>
    </row>
    <row r="6" spans="1:4" x14ac:dyDescent="0.2">
      <c r="A6" s="2" t="s">
        <v>426</v>
      </c>
      <c r="B6" s="3">
        <v>616</v>
      </c>
      <c r="C6" s="11">
        <f>MemberOfAssemblyAssemblyDistrict73General[[#This Row],[Part of New York County Vote Results]]</f>
        <v>616</v>
      </c>
      <c r="D6" s="13"/>
    </row>
    <row r="7" spans="1:4" x14ac:dyDescent="0.2">
      <c r="A7" s="2" t="s">
        <v>427</v>
      </c>
      <c r="B7" s="3">
        <v>86</v>
      </c>
      <c r="C7" s="11">
        <f>MemberOfAssemblyAssemblyDistrict73General[[#This Row],[Part of New York County Vote Results]]</f>
        <v>86</v>
      </c>
      <c r="D7" s="13"/>
    </row>
    <row r="8" spans="1:4" x14ac:dyDescent="0.2">
      <c r="A8" s="4" t="s">
        <v>0</v>
      </c>
      <c r="B8" s="5">
        <v>1461</v>
      </c>
      <c r="C8" s="11">
        <f>MemberOfAssemblyAssemblyDistrict73General[[#This Row],[Part of New York County Vote Results]]</f>
        <v>1461</v>
      </c>
      <c r="D8" s="13"/>
    </row>
    <row r="9" spans="1:4" x14ac:dyDescent="0.2">
      <c r="A9" s="4" t="s">
        <v>1</v>
      </c>
      <c r="B9" s="5">
        <v>0</v>
      </c>
      <c r="C9" s="11">
        <f>MemberOfAssemblyAssemblyDistrict73General[[#This Row],[Part of New York County Vote Results]]</f>
        <v>0</v>
      </c>
      <c r="D9" s="13"/>
    </row>
    <row r="10" spans="1:4" x14ac:dyDescent="0.2">
      <c r="A10" s="4" t="s">
        <v>2</v>
      </c>
      <c r="B10" s="5">
        <v>37</v>
      </c>
      <c r="C10" s="11">
        <f>MemberOfAssemblyAssemblyDistrict73General[[#This Row],[Part of New York County Vote Results]]</f>
        <v>37</v>
      </c>
      <c r="D10" s="13"/>
    </row>
    <row r="11" spans="1:4" hidden="1" x14ac:dyDescent="0.2">
      <c r="A11" s="4" t="s">
        <v>3</v>
      </c>
      <c r="B11" s="6">
        <f>SUBTOTAL(109,MemberOfAssemblyAssemblyDistrict73General[Total Votes by Candidate])</f>
        <v>47501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AF1B-6E50-479B-86A8-6D98B4EC7D82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428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429</v>
      </c>
      <c r="B3" s="3">
        <v>34316</v>
      </c>
      <c r="C3" s="11">
        <f>MemberOfAssemblyAssemblyDistrict74General[[#This Row],[Part of New York County Vote Results]]</f>
        <v>34316</v>
      </c>
      <c r="D3" s="12">
        <f>SUM(MemberOfAssemblyAssemblyDistrict74General[[#This Row],[Total Votes by Party]],C5)</f>
        <v>36535</v>
      </c>
    </row>
    <row r="4" spans="1:4" x14ac:dyDescent="0.2">
      <c r="A4" s="2" t="s">
        <v>430</v>
      </c>
      <c r="B4" s="3">
        <v>4694</v>
      </c>
      <c r="C4" s="11">
        <f>MemberOfAssemblyAssemblyDistrict74General[[#This Row],[Part of New York County Vote Results]]</f>
        <v>4694</v>
      </c>
      <c r="D4" s="12">
        <f>MemberOfAssemblyAssemblyDistrict74General[[#This Row],[Total Votes by Party]]</f>
        <v>4694</v>
      </c>
    </row>
    <row r="5" spans="1:4" x14ac:dyDescent="0.2">
      <c r="A5" s="2" t="s">
        <v>431</v>
      </c>
      <c r="B5" s="3">
        <v>2219</v>
      </c>
      <c r="C5" s="11">
        <f>MemberOfAssemblyAssemblyDistrict74General[[#This Row],[Part of New York County Vote Results]]</f>
        <v>2219</v>
      </c>
      <c r="D5" s="13"/>
    </row>
    <row r="6" spans="1:4" x14ac:dyDescent="0.2">
      <c r="A6" s="2" t="s">
        <v>432</v>
      </c>
      <c r="B6" s="3">
        <v>586</v>
      </c>
      <c r="C6" s="11">
        <f>MemberOfAssemblyAssemblyDistrict74General[[#This Row],[Part of New York County Vote Results]]</f>
        <v>586</v>
      </c>
      <c r="D6" s="12">
        <f>MemberOfAssemblyAssemblyDistrict74General[[#This Row],[Total Votes by Party]]</f>
        <v>586</v>
      </c>
    </row>
    <row r="7" spans="1:4" x14ac:dyDescent="0.2">
      <c r="A7" s="4" t="s">
        <v>0</v>
      </c>
      <c r="B7" s="5">
        <v>1855</v>
      </c>
      <c r="C7" s="11">
        <f>MemberOfAssemblyAssemblyDistrict74General[[#This Row],[Part of New York County Vote Results]]</f>
        <v>1855</v>
      </c>
      <c r="D7" s="13"/>
    </row>
    <row r="8" spans="1:4" x14ac:dyDescent="0.2">
      <c r="A8" s="4" t="s">
        <v>1</v>
      </c>
      <c r="B8" s="5">
        <v>0</v>
      </c>
      <c r="C8" s="11">
        <f>MemberOfAssemblyAssemblyDistrict74General[[#This Row],[Part of New York County Vote Results]]</f>
        <v>0</v>
      </c>
      <c r="D8" s="13"/>
    </row>
    <row r="9" spans="1:4" x14ac:dyDescent="0.2">
      <c r="A9" s="4" t="s">
        <v>2</v>
      </c>
      <c r="B9" s="5">
        <v>43</v>
      </c>
      <c r="C9" s="11">
        <f>MemberOfAssemblyAssemblyDistrict74General[[#This Row],[Part of New York County Vote Results]]</f>
        <v>43</v>
      </c>
      <c r="D9" s="13"/>
    </row>
    <row r="10" spans="1:4" hidden="1" x14ac:dyDescent="0.2">
      <c r="A10" s="4" t="s">
        <v>3</v>
      </c>
      <c r="B10" s="6">
        <f>SUBTOTAL(109,MemberOfAssemblyAssemblyDistrict74General[Total Votes by Candidate])</f>
        <v>41815</v>
      </c>
      <c r="C10" s="11">
        <f>MemberOfAssemblyAssemblyDistrict73General[[#This Row],[Part of New York County Vote Results]]</f>
        <v>37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4D06-80BE-4D25-9C0E-85D2CBB35BF5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433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434</v>
      </c>
      <c r="B3" s="3">
        <v>40462</v>
      </c>
      <c r="C3" s="11">
        <f>MemberOfAssemblyAssemblyDistrict75General[[#This Row],[Part of New York County Vote Results]]</f>
        <v>40462</v>
      </c>
      <c r="D3" s="12">
        <f>SUM(C3:C5)</f>
        <v>43804</v>
      </c>
    </row>
    <row r="4" spans="1:4" x14ac:dyDescent="0.2">
      <c r="A4" s="2" t="s">
        <v>435</v>
      </c>
      <c r="B4" s="3">
        <v>2730</v>
      </c>
      <c r="C4" s="11">
        <f>MemberOfAssemblyAssemblyDistrict75General[[#This Row],[Part of New York County Vote Results]]</f>
        <v>2730</v>
      </c>
      <c r="D4" s="13"/>
    </row>
    <row r="5" spans="1:4" x14ac:dyDescent="0.2">
      <c r="A5" s="2" t="s">
        <v>436</v>
      </c>
      <c r="B5" s="3">
        <v>612</v>
      </c>
      <c r="C5" s="11">
        <f>MemberOfAssemblyAssemblyDistrict75General[[#This Row],[Part of New York County Vote Results]]</f>
        <v>612</v>
      </c>
      <c r="D5" s="13"/>
    </row>
    <row r="6" spans="1:4" x14ac:dyDescent="0.2">
      <c r="A6" s="4" t="s">
        <v>0</v>
      </c>
      <c r="B6" s="5">
        <v>4775</v>
      </c>
      <c r="C6" s="11">
        <f>MemberOfAssemblyAssemblyDistrict75General[[#This Row],[Part of New York County Vote Results]]</f>
        <v>4775</v>
      </c>
      <c r="D6" s="13"/>
    </row>
    <row r="7" spans="1:4" x14ac:dyDescent="0.2">
      <c r="A7" s="4" t="s">
        <v>1</v>
      </c>
      <c r="B7" s="5">
        <v>0</v>
      </c>
      <c r="C7" s="11">
        <f>MemberOfAssemblyAssemblyDistrict75General[[#This Row],[Part of New York County Vote Results]]</f>
        <v>0</v>
      </c>
      <c r="D7" s="13"/>
    </row>
    <row r="8" spans="1:4" x14ac:dyDescent="0.2">
      <c r="A8" s="4" t="s">
        <v>2</v>
      </c>
      <c r="B8" s="5">
        <v>328</v>
      </c>
      <c r="C8" s="11">
        <f>MemberOfAssemblyAssemblyDistrict75General[[#This Row],[Part of New York County Vote Results]]</f>
        <v>328</v>
      </c>
      <c r="D8" s="13"/>
    </row>
    <row r="9" spans="1:4" hidden="1" x14ac:dyDescent="0.2">
      <c r="A9" s="4" t="s">
        <v>3</v>
      </c>
      <c r="B9" s="6">
        <f>SUBTOTAL(109,MemberOfAssemblyAssemblyDistrict75General[Total Votes by Candidate])</f>
        <v>43804</v>
      </c>
      <c r="C9" s="11">
        <f>MemberOfAssemblyAssemblyDistrict74General[[#This Row],[Part of New York County Vote Results]]</f>
        <v>43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92E9-0195-4486-A533-A24A2F8E4CD2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437</v>
      </c>
    </row>
    <row r="2" spans="1:4" ht="25.5" x14ac:dyDescent="0.2">
      <c r="A2" s="7" t="s">
        <v>5</v>
      </c>
      <c r="B2" s="8" t="s">
        <v>11</v>
      </c>
      <c r="C2" s="9" t="s">
        <v>869</v>
      </c>
      <c r="D2" s="10" t="s">
        <v>4</v>
      </c>
    </row>
    <row r="3" spans="1:4" x14ac:dyDescent="0.2">
      <c r="A3" s="2" t="s">
        <v>438</v>
      </c>
      <c r="B3" s="3">
        <v>39967</v>
      </c>
      <c r="C3" s="11">
        <f>MemberOfAssemblyAssemblyDistrict76General[[#This Row],[Part of New York County Vote Results]]</f>
        <v>39967</v>
      </c>
      <c r="D3" s="12">
        <f>SUM(C3:C4)</f>
        <v>41624</v>
      </c>
    </row>
    <row r="4" spans="1:4" x14ac:dyDescent="0.2">
      <c r="A4" s="2" t="s">
        <v>439</v>
      </c>
      <c r="B4" s="3">
        <v>1657</v>
      </c>
      <c r="C4" s="11">
        <f>MemberOfAssemblyAssemblyDistrict76General[[#This Row],[Part of New York County Vote Results]]</f>
        <v>1657</v>
      </c>
      <c r="D4" s="13"/>
    </row>
    <row r="5" spans="1:4" x14ac:dyDescent="0.2">
      <c r="A5" s="2" t="s">
        <v>440</v>
      </c>
      <c r="B5" s="3">
        <v>1504</v>
      </c>
      <c r="C5" s="11">
        <f>MemberOfAssemblyAssemblyDistrict76General[[#This Row],[Part of New York County Vote Results]]</f>
        <v>1504</v>
      </c>
      <c r="D5" s="12">
        <f>MemberOfAssemblyAssemblyDistrict76General[[#This Row],[Total Votes by Party]]</f>
        <v>1504</v>
      </c>
    </row>
    <row r="6" spans="1:4" x14ac:dyDescent="0.2">
      <c r="A6" s="4" t="s">
        <v>0</v>
      </c>
      <c r="B6" s="5">
        <v>5405</v>
      </c>
      <c r="C6" s="11">
        <f>MemberOfAssemblyAssemblyDistrict76General[[#This Row],[Part of New York County Vote Results]]</f>
        <v>5405</v>
      </c>
      <c r="D6" s="13"/>
    </row>
    <row r="7" spans="1:4" x14ac:dyDescent="0.2">
      <c r="A7" s="4" t="s">
        <v>1</v>
      </c>
      <c r="B7" s="5">
        <v>0</v>
      </c>
      <c r="C7" s="11">
        <f>MemberOfAssemblyAssemblyDistrict76General[[#This Row],[Part of New York County Vote Results]]</f>
        <v>0</v>
      </c>
      <c r="D7" s="13"/>
    </row>
    <row r="8" spans="1:4" x14ac:dyDescent="0.2">
      <c r="A8" s="4" t="s">
        <v>2</v>
      </c>
      <c r="B8" s="5">
        <v>228</v>
      </c>
      <c r="C8" s="11">
        <f>MemberOfAssemblyAssemblyDistrict76General[[#This Row],[Part of New York County Vote Results]]</f>
        <v>228</v>
      </c>
      <c r="D8" s="13"/>
    </row>
    <row r="9" spans="1:4" hidden="1" x14ac:dyDescent="0.2">
      <c r="A9" s="4" t="s">
        <v>3</v>
      </c>
      <c r="B9" s="6">
        <f>SUBTOTAL(109,MemberOfAssemblyAssemblyDistrict76General[Total Votes by Candidate])</f>
        <v>43128</v>
      </c>
      <c r="C9" s="11">
        <f>MemberOfAssemblyAssemblyDistrict74General[[#This Row],[Part of New York County Vote Results]]</f>
        <v>43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6D72-EDB4-48B7-83A5-8A4607C13E99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441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442</v>
      </c>
      <c r="B3" s="3">
        <v>21859</v>
      </c>
      <c r="C3" s="11">
        <f>MemberOfAssemblyAssemblyDistrict77General[[#This Row],[Part of Bronx County Vote Results]]</f>
        <v>21859</v>
      </c>
      <c r="D3" s="12">
        <f>MemberOfAssemblyAssemblyDistrict77General[[#This Row],[Total Votes by Party]]</f>
        <v>21859</v>
      </c>
    </row>
    <row r="4" spans="1:4" x14ac:dyDescent="0.2">
      <c r="A4" s="2" t="s">
        <v>443</v>
      </c>
      <c r="B4" s="3">
        <v>714</v>
      </c>
      <c r="C4" s="11">
        <f>MemberOfAssemblyAssemblyDistrict77General[[#This Row],[Part of Bronx County Vote Results]]</f>
        <v>714</v>
      </c>
      <c r="D4" s="12">
        <f>MemberOfAssemblyAssemblyDistrict77General[[#This Row],[Total Votes by Party]]</f>
        <v>714</v>
      </c>
    </row>
    <row r="5" spans="1:4" x14ac:dyDescent="0.2">
      <c r="A5" s="2" t="s">
        <v>444</v>
      </c>
      <c r="B5" s="3">
        <v>95</v>
      </c>
      <c r="C5" s="11">
        <f>MemberOfAssemblyAssemblyDistrict77General[[#This Row],[Part of Bronx County Vote Results]]</f>
        <v>95</v>
      </c>
      <c r="D5" s="12">
        <f>MemberOfAssemblyAssemblyDistrict77General[[#This Row],[Total Votes by Party]]</f>
        <v>95</v>
      </c>
    </row>
    <row r="6" spans="1:4" x14ac:dyDescent="0.2">
      <c r="A6" s="4" t="s">
        <v>0</v>
      </c>
      <c r="B6" s="5">
        <v>965</v>
      </c>
      <c r="C6" s="11">
        <f>MemberOfAssemblyAssemblyDistrict77General[[#This Row],[Part of Bronx County Vote Results]]</f>
        <v>965</v>
      </c>
      <c r="D6" s="13"/>
    </row>
    <row r="7" spans="1:4" x14ac:dyDescent="0.2">
      <c r="A7" s="4" t="s">
        <v>1</v>
      </c>
      <c r="B7" s="5">
        <v>0</v>
      </c>
      <c r="C7" s="11">
        <f>MemberOfAssemblyAssemblyDistrict77General[[#This Row],[Part of Bronx County Vote Results]]</f>
        <v>0</v>
      </c>
      <c r="D7" s="13"/>
    </row>
    <row r="8" spans="1:4" x14ac:dyDescent="0.2">
      <c r="A8" s="4" t="s">
        <v>2</v>
      </c>
      <c r="B8" s="5">
        <v>8</v>
      </c>
      <c r="C8" s="11">
        <f>MemberOfAssemblyAssemblyDistrict77General[[#This Row],[Part of Bronx County Vote Results]]</f>
        <v>8</v>
      </c>
      <c r="D8" s="13"/>
    </row>
    <row r="9" spans="1:4" hidden="1" x14ac:dyDescent="0.2">
      <c r="A9" s="4" t="s">
        <v>3</v>
      </c>
      <c r="B9" s="6">
        <f>SUBTOTAL(109,MemberOfAssemblyAssemblyDistrict77General[Total Votes by Candidate])</f>
        <v>22668</v>
      </c>
      <c r="C9" s="11">
        <f>MemberOfAssemblyAssemblyDistrict74General[[#This Row],[Part of New York County Vote Results]]</f>
        <v>43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26B9-4C36-4F42-B670-60CBEAB286BA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445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446</v>
      </c>
      <c r="B3" s="3">
        <v>17212</v>
      </c>
      <c r="C3" s="11">
        <f>MemberOfAssemblyAssemblyDistrict78General[[#This Row],[Part of Bronx County Vote Results]]</f>
        <v>17212</v>
      </c>
      <c r="D3" s="12">
        <f>MemberOfAssemblyAssemblyDistrict78General[[#This Row],[Total Votes by Party]]</f>
        <v>17212</v>
      </c>
    </row>
    <row r="4" spans="1:4" x14ac:dyDescent="0.2">
      <c r="A4" s="2" t="s">
        <v>447</v>
      </c>
      <c r="B4" s="3">
        <v>1040</v>
      </c>
      <c r="C4" s="11">
        <f>MemberOfAssemblyAssemblyDistrict78General[[#This Row],[Part of Bronx County Vote Results]]</f>
        <v>1040</v>
      </c>
      <c r="D4" s="12">
        <f>SUM(C4:C5)</f>
        <v>1209</v>
      </c>
    </row>
    <row r="5" spans="1:4" x14ac:dyDescent="0.2">
      <c r="A5" s="2" t="s">
        <v>448</v>
      </c>
      <c r="B5" s="3">
        <v>169</v>
      </c>
      <c r="C5" s="11">
        <f>MemberOfAssemblyAssemblyDistrict78General[[#This Row],[Part of Bronx County Vote Results]]</f>
        <v>169</v>
      </c>
      <c r="D5" s="13"/>
    </row>
    <row r="6" spans="1:4" x14ac:dyDescent="0.2">
      <c r="A6" s="4" t="s">
        <v>0</v>
      </c>
      <c r="B6" s="5">
        <v>1095</v>
      </c>
      <c r="C6" s="11">
        <f>MemberOfAssemblyAssemblyDistrict78General[[#This Row],[Part of Bronx County Vote Results]]</f>
        <v>1095</v>
      </c>
      <c r="D6" s="13"/>
    </row>
    <row r="7" spans="1:4" x14ac:dyDescent="0.2">
      <c r="A7" s="4" t="s">
        <v>1</v>
      </c>
      <c r="B7" s="5">
        <v>0</v>
      </c>
      <c r="C7" s="11">
        <f>MemberOfAssemblyAssemblyDistrict78General[[#This Row],[Part of Bronx County Vote Results]]</f>
        <v>0</v>
      </c>
      <c r="D7" s="13"/>
    </row>
    <row r="8" spans="1:4" x14ac:dyDescent="0.2">
      <c r="A8" s="4" t="s">
        <v>2</v>
      </c>
      <c r="B8" s="5">
        <v>23</v>
      </c>
      <c r="C8" s="11">
        <f>MemberOfAssemblyAssemblyDistrict78General[[#This Row],[Part of Bronx County Vote Results]]</f>
        <v>23</v>
      </c>
      <c r="D8" s="13"/>
    </row>
    <row r="9" spans="1:4" hidden="1" x14ac:dyDescent="0.2">
      <c r="A9" s="4" t="s">
        <v>3</v>
      </c>
      <c r="B9" s="6">
        <f>SUBTOTAL(109,MemberOfAssemblyAssemblyDistrict78General[Total Votes by Candidate])</f>
        <v>18421</v>
      </c>
      <c r="C9" s="11">
        <f>MemberOfAssemblyAssemblyDistrict74General[[#This Row],[Part of New York County Vote Results]]</f>
        <v>43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BCE2-A7DC-4FD7-9F42-1EB109A6D851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449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450</v>
      </c>
      <c r="B3" s="3">
        <v>23772</v>
      </c>
      <c r="C3" s="11">
        <f>MemberOfAssemblyAssemblyDistrict79General[[#This Row],[Part of Bronx County Vote Results]]</f>
        <v>23772</v>
      </c>
      <c r="D3" s="12">
        <f>SUM(MemberOfAssemblyAssemblyDistrict79General[[#This Row],[Total Votes by Party]],C6)</f>
        <v>24220</v>
      </c>
    </row>
    <row r="4" spans="1:4" x14ac:dyDescent="0.2">
      <c r="A4" s="2" t="s">
        <v>451</v>
      </c>
      <c r="B4" s="3">
        <v>752</v>
      </c>
      <c r="C4" s="11">
        <f>MemberOfAssemblyAssemblyDistrict79General[[#This Row],[Part of Bronx County Vote Results]]</f>
        <v>752</v>
      </c>
      <c r="D4" s="12">
        <f>MemberOfAssemblyAssemblyDistrict79General[[#This Row],[Total Votes by Party]]</f>
        <v>752</v>
      </c>
    </row>
    <row r="5" spans="1:4" x14ac:dyDescent="0.2">
      <c r="A5" s="2" t="s">
        <v>452</v>
      </c>
      <c r="B5" s="3">
        <v>145</v>
      </c>
      <c r="C5" s="11">
        <f>MemberOfAssemblyAssemblyDistrict79General[[#This Row],[Part of Bronx County Vote Results]]</f>
        <v>145</v>
      </c>
      <c r="D5" s="12">
        <f>MemberOfAssemblyAssemblyDistrict79General[[#This Row],[Total Votes by Party]]</f>
        <v>145</v>
      </c>
    </row>
    <row r="6" spans="1:4" x14ac:dyDescent="0.2">
      <c r="A6" s="2" t="s">
        <v>453</v>
      </c>
      <c r="B6" s="3">
        <v>448</v>
      </c>
      <c r="C6" s="11">
        <f>MemberOfAssemblyAssemblyDistrict79General[[#This Row],[Part of Bronx County Vote Results]]</f>
        <v>448</v>
      </c>
      <c r="D6" s="13"/>
    </row>
    <row r="7" spans="1:4" x14ac:dyDescent="0.2">
      <c r="A7" s="4" t="s">
        <v>0</v>
      </c>
      <c r="B7" s="5">
        <v>1339</v>
      </c>
      <c r="C7" s="11">
        <f>MemberOfAssemblyAssemblyDistrict79General[[#This Row],[Part of Bronx County Vote Results]]</f>
        <v>1339</v>
      </c>
      <c r="D7" s="13"/>
    </row>
    <row r="8" spans="1:4" x14ac:dyDescent="0.2">
      <c r="A8" s="4" t="s">
        <v>1</v>
      </c>
      <c r="B8" s="5">
        <v>0</v>
      </c>
      <c r="C8" s="11">
        <f>MemberOfAssemblyAssemblyDistrict79General[[#This Row],[Part of Bronx County Vote Results]]</f>
        <v>0</v>
      </c>
      <c r="D8" s="13"/>
    </row>
    <row r="9" spans="1:4" x14ac:dyDescent="0.2">
      <c r="A9" s="4" t="s">
        <v>2</v>
      </c>
      <c r="B9" s="5">
        <v>6</v>
      </c>
      <c r="C9" s="11">
        <f>MemberOfAssemblyAssemblyDistrict79General[[#This Row],[Part of Bronx County Vote Results]]</f>
        <v>6</v>
      </c>
      <c r="D9" s="13"/>
    </row>
    <row r="10" spans="1:4" hidden="1" x14ac:dyDescent="0.2">
      <c r="A10" s="4" t="s">
        <v>3</v>
      </c>
      <c r="B10" s="6">
        <f>SUBTOTAL(109,MemberOfAssemblyAssemblyDistrict79General[Total Votes by Candidate])</f>
        <v>25117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4918-B0DF-419A-8875-460BBEE3413B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113</v>
      </c>
    </row>
    <row r="2" spans="1:4" ht="25.5" x14ac:dyDescent="0.2">
      <c r="A2" s="7" t="s">
        <v>5</v>
      </c>
      <c r="B2" s="8" t="s">
        <v>6</v>
      </c>
      <c r="C2" s="9" t="s">
        <v>869</v>
      </c>
      <c r="D2" s="10" t="s">
        <v>4</v>
      </c>
    </row>
    <row r="3" spans="1:4" x14ac:dyDescent="0.2">
      <c r="A3" s="2" t="s">
        <v>114</v>
      </c>
      <c r="B3" s="3">
        <v>20459</v>
      </c>
      <c r="C3" s="11">
        <f>MemberOfAssemblyAssemblyDistrict8General[[#This Row],[Part of Suffolk County Vote Results]]</f>
        <v>20459</v>
      </c>
      <c r="D3" s="12">
        <f>MemberOfAssemblyAssemblyDistrict8General[[#This Row],[Total Votes by Party]]</f>
        <v>20459</v>
      </c>
    </row>
    <row r="4" spans="1:4" x14ac:dyDescent="0.2">
      <c r="A4" s="2" t="s">
        <v>115</v>
      </c>
      <c r="B4" s="3">
        <v>27789</v>
      </c>
      <c r="C4" s="11">
        <f>MemberOfAssemblyAssemblyDistrict8General[[#This Row],[Part of Suffolk County Vote Results]]</f>
        <v>27789</v>
      </c>
      <c r="D4" s="12">
        <f>SUM(C4:C7)</f>
        <v>31957</v>
      </c>
    </row>
    <row r="5" spans="1:4" x14ac:dyDescent="0.2">
      <c r="A5" s="2" t="s">
        <v>116</v>
      </c>
      <c r="B5" s="3">
        <v>3311</v>
      </c>
      <c r="C5" s="11">
        <f>MemberOfAssemblyAssemblyDistrict8General[[#This Row],[Part of Suffolk County Vote Results]]</f>
        <v>3311</v>
      </c>
      <c r="D5" s="13"/>
    </row>
    <row r="6" spans="1:4" x14ac:dyDescent="0.2">
      <c r="A6" s="2" t="s">
        <v>117</v>
      </c>
      <c r="B6" s="3">
        <v>749</v>
      </c>
      <c r="C6" s="11">
        <f>MemberOfAssemblyAssemblyDistrict8General[[#This Row],[Part of Suffolk County Vote Results]]</f>
        <v>749</v>
      </c>
      <c r="D6" s="13"/>
    </row>
    <row r="7" spans="1:4" x14ac:dyDescent="0.2">
      <c r="A7" s="2" t="s">
        <v>118</v>
      </c>
      <c r="B7" s="3">
        <v>108</v>
      </c>
      <c r="C7" s="11">
        <f>MemberOfAssemblyAssemblyDistrict8General[[#This Row],[Part of Suffolk County Vote Results]]</f>
        <v>108</v>
      </c>
      <c r="D7" s="13"/>
    </row>
    <row r="8" spans="1:4" x14ac:dyDescent="0.2">
      <c r="A8" s="4" t="s">
        <v>0</v>
      </c>
      <c r="B8" s="5">
        <v>2067</v>
      </c>
      <c r="C8" s="11">
        <f>MemberOfAssemblyAssemblyDistrict8General[[#This Row],[Part of Suffolk County Vote Results]]</f>
        <v>2067</v>
      </c>
      <c r="D8" s="13"/>
    </row>
    <row r="9" spans="1:4" x14ac:dyDescent="0.2">
      <c r="A9" s="4" t="s">
        <v>1</v>
      </c>
      <c r="B9" s="5">
        <v>5</v>
      </c>
      <c r="C9" s="11">
        <f>MemberOfAssemblyAssemblyDistrict8General[[#This Row],[Part of Suffolk County Vote Results]]</f>
        <v>5</v>
      </c>
      <c r="D9" s="13"/>
    </row>
    <row r="10" spans="1:4" x14ac:dyDescent="0.2">
      <c r="A10" s="4" t="s">
        <v>2</v>
      </c>
      <c r="B10" s="5">
        <v>2</v>
      </c>
      <c r="C10" s="11">
        <f>MemberOfAssemblyAssemblyDistrict8General[[#This Row],[Part of Suffolk County Vote Results]]</f>
        <v>2</v>
      </c>
      <c r="D10" s="13"/>
    </row>
    <row r="11" spans="1:4" hidden="1" x14ac:dyDescent="0.2">
      <c r="A11" s="4" t="s">
        <v>3</v>
      </c>
      <c r="B11" s="6">
        <f>SUBTOTAL(109,MemberOfAssemblyAssemblyDistrict8General[Total Votes by Candidate])</f>
        <v>52416</v>
      </c>
      <c r="C11" s="11">
        <f>MemberOfAssemblyAssemblyDistrict7General[[#This Row],[Part of Suffolk County Vote Results]]</f>
        <v>13</v>
      </c>
      <c r="D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3225-17ED-4ECD-8E26-3E89FF47BAAB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454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455</v>
      </c>
      <c r="B3" s="3">
        <v>21241</v>
      </c>
      <c r="C3" s="11">
        <f>MemberOfAssemblyAssemblyDistrict80General[[#This Row],[Part of Bronx County Vote Results]]</f>
        <v>21241</v>
      </c>
      <c r="D3" s="12">
        <f>MemberOfAssemblyAssemblyDistrict80General[[#This Row],[Total Votes by Party]]</f>
        <v>21241</v>
      </c>
    </row>
    <row r="4" spans="1:4" x14ac:dyDescent="0.2">
      <c r="A4" s="2" t="s">
        <v>456</v>
      </c>
      <c r="B4" s="3">
        <v>2939</v>
      </c>
      <c r="C4" s="11">
        <f>MemberOfAssemblyAssemblyDistrict80General[[#This Row],[Part of Bronx County Vote Results]]</f>
        <v>2939</v>
      </c>
      <c r="D4" s="12">
        <f>SUM(C4:C5)</f>
        <v>3314</v>
      </c>
    </row>
    <row r="5" spans="1:4" x14ac:dyDescent="0.2">
      <c r="A5" s="2" t="s">
        <v>457</v>
      </c>
      <c r="B5" s="3">
        <v>375</v>
      </c>
      <c r="C5" s="11">
        <f>MemberOfAssemblyAssemblyDistrict80General[[#This Row],[Part of Bronx County Vote Results]]</f>
        <v>375</v>
      </c>
      <c r="D5" s="13"/>
    </row>
    <row r="6" spans="1:4" x14ac:dyDescent="0.2">
      <c r="A6" s="4" t="s">
        <v>0</v>
      </c>
      <c r="B6" s="5">
        <v>1514</v>
      </c>
      <c r="C6" s="11">
        <f>MemberOfAssemblyAssemblyDistrict80General[[#This Row],[Part of Bronx County Vote Results]]</f>
        <v>1514</v>
      </c>
      <c r="D6" s="13"/>
    </row>
    <row r="7" spans="1:4" x14ac:dyDescent="0.2">
      <c r="A7" s="4" t="s">
        <v>1</v>
      </c>
      <c r="B7" s="5">
        <v>0</v>
      </c>
      <c r="C7" s="11">
        <f>MemberOfAssemblyAssemblyDistrict80General[[#This Row],[Part of Bronx County Vote Results]]</f>
        <v>0</v>
      </c>
      <c r="D7" s="13"/>
    </row>
    <row r="8" spans="1:4" x14ac:dyDescent="0.2">
      <c r="A8" s="4" t="s">
        <v>2</v>
      </c>
      <c r="B8" s="5">
        <v>16</v>
      </c>
      <c r="C8" s="11">
        <f>MemberOfAssemblyAssemblyDistrict80General[[#This Row],[Part of Bronx County Vote Results]]</f>
        <v>16</v>
      </c>
      <c r="D8" s="13"/>
    </row>
    <row r="9" spans="1:4" hidden="1" x14ac:dyDescent="0.2">
      <c r="A9" s="4" t="s">
        <v>3</v>
      </c>
      <c r="B9" s="6">
        <f>SUBTOTAL(109,MemberOfAssemblyAssemblyDistrict80General[Total Votes by Candidate])</f>
        <v>24555</v>
      </c>
      <c r="C9" s="11">
        <f>MemberOfAssemblyAssemblyDistrict79General[[#This Row],[Part of Bronx County Vote Results]]</f>
        <v>6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BF45-64FA-4D53-B55C-E8A85F85D4C2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458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459</v>
      </c>
      <c r="B3" s="3">
        <v>27986</v>
      </c>
      <c r="C3" s="11">
        <f>MemberOfAssemblyAssemblyDistrict81General[[#This Row],[Part of Bronx County Vote Results]]</f>
        <v>27986</v>
      </c>
      <c r="D3" s="12">
        <f>SUM(MemberOfAssemblyAssemblyDistrict81General[[#This Row],[Total Votes by Party]],C6:C7)</f>
        <v>29757</v>
      </c>
    </row>
    <row r="4" spans="1:4" x14ac:dyDescent="0.2">
      <c r="A4" s="2" t="s">
        <v>460</v>
      </c>
      <c r="B4" s="3">
        <v>3636</v>
      </c>
      <c r="C4" s="11">
        <f>MemberOfAssemblyAssemblyDistrict81General[[#This Row],[Part of Bronx County Vote Results]]</f>
        <v>3636</v>
      </c>
      <c r="D4" s="12">
        <f>SUM(C4:C5)</f>
        <v>4209</v>
      </c>
    </row>
    <row r="5" spans="1:4" x14ac:dyDescent="0.2">
      <c r="A5" s="2" t="s">
        <v>461</v>
      </c>
      <c r="B5" s="3">
        <v>573</v>
      </c>
      <c r="C5" s="11">
        <f>MemberOfAssemblyAssemblyDistrict81General[[#This Row],[Part of Bronx County Vote Results]]</f>
        <v>573</v>
      </c>
      <c r="D5" s="13"/>
    </row>
    <row r="6" spans="1:4" x14ac:dyDescent="0.2">
      <c r="A6" s="2" t="s">
        <v>462</v>
      </c>
      <c r="B6" s="3">
        <v>1462</v>
      </c>
      <c r="C6" s="11">
        <f>MemberOfAssemblyAssemblyDistrict81General[[#This Row],[Part of Bronx County Vote Results]]</f>
        <v>1462</v>
      </c>
      <c r="D6" s="13"/>
    </row>
    <row r="7" spans="1:4" x14ac:dyDescent="0.2">
      <c r="A7" s="2" t="s">
        <v>463</v>
      </c>
      <c r="B7" s="3">
        <v>309</v>
      </c>
      <c r="C7" s="11">
        <f>MemberOfAssemblyAssemblyDistrict81General[[#This Row],[Part of Bronx County Vote Results]]</f>
        <v>309</v>
      </c>
      <c r="D7" s="13"/>
    </row>
    <row r="8" spans="1:4" x14ac:dyDescent="0.2">
      <c r="A8" s="4" t="s">
        <v>0</v>
      </c>
      <c r="B8" s="5">
        <v>1538</v>
      </c>
      <c r="C8" s="11">
        <f>MemberOfAssemblyAssemblyDistrict81General[[#This Row],[Part of Bronx County Vote Results]]</f>
        <v>1538</v>
      </c>
      <c r="D8" s="13"/>
    </row>
    <row r="9" spans="1:4" x14ac:dyDescent="0.2">
      <c r="A9" s="4" t="s">
        <v>1</v>
      </c>
      <c r="B9" s="5">
        <v>0</v>
      </c>
      <c r="C9" s="11">
        <f>MemberOfAssemblyAssemblyDistrict81General[[#This Row],[Part of Bronx County Vote Results]]</f>
        <v>0</v>
      </c>
      <c r="D9" s="13"/>
    </row>
    <row r="10" spans="1:4" x14ac:dyDescent="0.2">
      <c r="A10" s="4" t="s">
        <v>2</v>
      </c>
      <c r="B10" s="5">
        <v>73</v>
      </c>
      <c r="C10" s="11">
        <f>MemberOfAssemblyAssemblyDistrict81General[[#This Row],[Part of Bronx County Vote Results]]</f>
        <v>73</v>
      </c>
      <c r="D10" s="13"/>
    </row>
    <row r="11" spans="1:4" hidden="1" x14ac:dyDescent="0.2">
      <c r="A11" s="4" t="s">
        <v>3</v>
      </c>
      <c r="B11" s="6">
        <f>SUBTOTAL(109,MemberOfAssemblyAssemblyDistrict81General[Total Votes by Candidate])</f>
        <v>33966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0A9D-616A-4B16-8AAE-E9483E1A4B12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464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868</v>
      </c>
      <c r="B3" s="3">
        <v>28227</v>
      </c>
      <c r="C3" s="11">
        <f>MemberOfAssemblyAssemblyDistrict82General[[#This Row],[Part of Bronx County Vote Results]]</f>
        <v>28227</v>
      </c>
      <c r="D3" s="12">
        <f>MemberOfAssemblyAssemblyDistrict82General[[#This Row],[Total Votes by Party]]</f>
        <v>28227</v>
      </c>
    </row>
    <row r="4" spans="1:4" x14ac:dyDescent="0.2">
      <c r="A4" s="2" t="s">
        <v>465</v>
      </c>
      <c r="B4" s="3">
        <v>5509</v>
      </c>
      <c r="C4" s="11">
        <f>MemberOfAssemblyAssemblyDistrict82General[[#This Row],[Part of Bronx County Vote Results]]</f>
        <v>5509</v>
      </c>
      <c r="D4" s="12">
        <f>MemberOfAssemblyAssemblyDistrict82General[[#This Row],[Total Votes by Party]]</f>
        <v>5509</v>
      </c>
    </row>
    <row r="5" spans="1:4" x14ac:dyDescent="0.2">
      <c r="A5" s="2" t="s">
        <v>466</v>
      </c>
      <c r="B5" s="3">
        <v>787</v>
      </c>
      <c r="C5" s="11">
        <f>MemberOfAssemblyAssemblyDistrict82General[[#This Row],[Part of Bronx County Vote Results]]</f>
        <v>787</v>
      </c>
      <c r="D5" s="12">
        <f>MemberOfAssemblyAssemblyDistrict82General[[#This Row],[Total Votes by Party]]</f>
        <v>787</v>
      </c>
    </row>
    <row r="6" spans="1:4" x14ac:dyDescent="0.2">
      <c r="A6" s="4" t="s">
        <v>0</v>
      </c>
      <c r="B6" s="5">
        <v>1993</v>
      </c>
      <c r="C6" s="11">
        <f>MemberOfAssemblyAssemblyDistrict82General[[#This Row],[Part of Bronx County Vote Results]]</f>
        <v>1993</v>
      </c>
      <c r="D6" s="13"/>
    </row>
    <row r="7" spans="1:4" x14ac:dyDescent="0.2">
      <c r="A7" s="4" t="s">
        <v>1</v>
      </c>
      <c r="B7" s="5">
        <v>0</v>
      </c>
      <c r="C7" s="11">
        <f>MemberOfAssemblyAssemblyDistrict82General[[#This Row],[Part of Bronx County Vote Results]]</f>
        <v>0</v>
      </c>
      <c r="D7" s="13"/>
    </row>
    <row r="8" spans="1:4" x14ac:dyDescent="0.2">
      <c r="A8" s="4" t="s">
        <v>2</v>
      </c>
      <c r="B8" s="5">
        <v>21</v>
      </c>
      <c r="C8" s="11">
        <f>MemberOfAssemblyAssemblyDistrict82General[[#This Row],[Part of Bronx County Vote Results]]</f>
        <v>21</v>
      </c>
      <c r="D8" s="13"/>
    </row>
    <row r="9" spans="1:4" hidden="1" x14ac:dyDescent="0.2">
      <c r="A9" s="4" t="s">
        <v>3</v>
      </c>
      <c r="B9" s="6">
        <f>SUBTOTAL(109,MemberOfAssemblyAssemblyDistrict82General[Total Votes by Candidate])</f>
        <v>34523</v>
      </c>
      <c r="C9" s="11">
        <f>MemberOfAssemblyAssemblyDistrict81General[[#This Row],[Part of Bronx County Vote Results]]</f>
        <v>0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A7CF-566D-412A-846C-450774737E24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467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468</v>
      </c>
      <c r="B3" s="3">
        <v>28792</v>
      </c>
      <c r="C3" s="11">
        <f>MemberOfAssemblyAssemblyDistrict83General[[#This Row],[Part of Bronx County Vote Results]]</f>
        <v>28792</v>
      </c>
      <c r="D3" s="12">
        <f>MemberOfAssemblyAssemblyDistrict83General[[#This Row],[Total Votes by Party]]</f>
        <v>28792</v>
      </c>
    </row>
    <row r="4" spans="1:4" x14ac:dyDescent="0.2">
      <c r="A4" s="2" t="s">
        <v>469</v>
      </c>
      <c r="B4" s="3">
        <v>632</v>
      </c>
      <c r="C4" s="11">
        <f>MemberOfAssemblyAssemblyDistrict83General[[#This Row],[Part of Bronx County Vote Results]]</f>
        <v>632</v>
      </c>
      <c r="D4" s="12">
        <f>MemberOfAssemblyAssemblyDistrict83General[[#This Row],[Total Votes by Party]]</f>
        <v>632</v>
      </c>
    </row>
    <row r="5" spans="1:4" x14ac:dyDescent="0.2">
      <c r="A5" s="2" t="s">
        <v>470</v>
      </c>
      <c r="B5" s="3">
        <v>365</v>
      </c>
      <c r="C5" s="11">
        <f>MemberOfAssemblyAssemblyDistrict83General[[#This Row],[Part of Bronx County Vote Results]]</f>
        <v>365</v>
      </c>
      <c r="D5" s="12">
        <f>MemberOfAssemblyAssemblyDistrict83General[[#This Row],[Total Votes by Party]]</f>
        <v>365</v>
      </c>
    </row>
    <row r="6" spans="1:4" x14ac:dyDescent="0.2">
      <c r="A6" s="4" t="s">
        <v>0</v>
      </c>
      <c r="B6" s="5">
        <v>1484</v>
      </c>
      <c r="C6" s="11">
        <f>MemberOfAssemblyAssemblyDistrict83General[[#This Row],[Part of Bronx County Vote Results]]</f>
        <v>1484</v>
      </c>
      <c r="D6" s="13"/>
    </row>
    <row r="7" spans="1:4" x14ac:dyDescent="0.2">
      <c r="A7" s="4" t="s">
        <v>1</v>
      </c>
      <c r="B7" s="5">
        <v>0</v>
      </c>
      <c r="C7" s="11">
        <f>MemberOfAssemblyAssemblyDistrict83General[[#This Row],[Part of Bronx County Vote Results]]</f>
        <v>0</v>
      </c>
      <c r="D7" s="13"/>
    </row>
    <row r="8" spans="1:4" x14ac:dyDescent="0.2">
      <c r="A8" s="4" t="s">
        <v>2</v>
      </c>
      <c r="B8" s="5">
        <v>0</v>
      </c>
      <c r="C8" s="11">
        <f>MemberOfAssemblyAssemblyDistrict83General[[#This Row],[Part of Bronx County Vote Results]]</f>
        <v>0</v>
      </c>
      <c r="D8" s="13"/>
    </row>
    <row r="9" spans="1:4" hidden="1" x14ac:dyDescent="0.2">
      <c r="A9" s="4" t="s">
        <v>3</v>
      </c>
      <c r="B9" s="6">
        <f>SUBTOTAL(109,MemberOfAssemblyAssemblyDistrict83General[Total Votes by Candidate])</f>
        <v>29789</v>
      </c>
      <c r="C9" s="11">
        <f>MemberOfAssemblyAssemblyDistrict81General[[#This Row],[Part of Bronx County Vote Results]]</f>
        <v>0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2A81-1488-4FA9-95BF-DF858A6EF059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471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472</v>
      </c>
      <c r="B3" s="3">
        <v>19689</v>
      </c>
      <c r="C3" s="11">
        <f>MemberOfAssemblyAssemblyDistrict84General[[#This Row],[Part of Bronx County Vote Results]]</f>
        <v>19689</v>
      </c>
      <c r="D3" s="12">
        <f>MemberOfAssemblyAssemblyDistrict84General[[#This Row],[Total Votes by Party]]</f>
        <v>19689</v>
      </c>
    </row>
    <row r="4" spans="1:4" x14ac:dyDescent="0.2">
      <c r="A4" s="2" t="s">
        <v>473</v>
      </c>
      <c r="B4" s="3">
        <v>842</v>
      </c>
      <c r="C4" s="11">
        <f>MemberOfAssemblyAssemblyDistrict84General[[#This Row],[Part of Bronx County Vote Results]]</f>
        <v>842</v>
      </c>
      <c r="D4" s="12">
        <f>MemberOfAssemblyAssemblyDistrict84General[[#This Row],[Total Votes by Party]]</f>
        <v>842</v>
      </c>
    </row>
    <row r="5" spans="1:4" x14ac:dyDescent="0.2">
      <c r="A5" s="2" t="s">
        <v>474</v>
      </c>
      <c r="B5" s="3">
        <v>180</v>
      </c>
      <c r="C5" s="11">
        <f>MemberOfAssemblyAssemblyDistrict84General[[#This Row],[Part of Bronx County Vote Results]]</f>
        <v>180</v>
      </c>
      <c r="D5" s="12">
        <f>MemberOfAssemblyAssemblyDistrict84General[[#This Row],[Total Votes by Party]]</f>
        <v>180</v>
      </c>
    </row>
    <row r="6" spans="1:4" x14ac:dyDescent="0.2">
      <c r="A6" s="2" t="s">
        <v>475</v>
      </c>
      <c r="B6" s="3">
        <v>1209</v>
      </c>
      <c r="C6" s="11">
        <f>MemberOfAssemblyAssemblyDistrict84General[[#This Row],[Part of Bronx County Vote Results]]</f>
        <v>1209</v>
      </c>
      <c r="D6" s="12">
        <f>MemberOfAssemblyAssemblyDistrict84General[[#This Row],[Total Votes by Party]]</f>
        <v>1209</v>
      </c>
    </row>
    <row r="7" spans="1:4" x14ac:dyDescent="0.2">
      <c r="A7" s="4" t="s">
        <v>0</v>
      </c>
      <c r="B7" s="5">
        <v>1261</v>
      </c>
      <c r="C7" s="11">
        <f>MemberOfAssemblyAssemblyDistrict84General[[#This Row],[Part of Bronx County Vote Results]]</f>
        <v>1261</v>
      </c>
      <c r="D7" s="13"/>
    </row>
    <row r="8" spans="1:4" x14ac:dyDescent="0.2">
      <c r="A8" s="4" t="s">
        <v>1</v>
      </c>
      <c r="B8" s="5">
        <v>0</v>
      </c>
      <c r="C8" s="11">
        <f>MemberOfAssemblyAssemblyDistrict84General[[#This Row],[Part of Bronx County Vote Results]]</f>
        <v>0</v>
      </c>
      <c r="D8" s="13"/>
    </row>
    <row r="9" spans="1:4" x14ac:dyDescent="0.2">
      <c r="A9" s="4" t="s">
        <v>2</v>
      </c>
      <c r="B9" s="5">
        <v>14</v>
      </c>
      <c r="C9" s="11">
        <f>MemberOfAssemblyAssemblyDistrict84General[[#This Row],[Part of Bronx County Vote Results]]</f>
        <v>14</v>
      </c>
      <c r="D9" s="13"/>
    </row>
    <row r="10" spans="1:4" hidden="1" x14ac:dyDescent="0.2">
      <c r="A10" s="4" t="s">
        <v>3</v>
      </c>
      <c r="B10" s="6">
        <f>SUBTOTAL(109,MemberOfAssemblyAssemblyDistrict84General[Total Votes by Candidate])</f>
        <v>21920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CB10-946A-4A59-8ED4-55BD66B7C017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476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477</v>
      </c>
      <c r="B3" s="3">
        <v>20783</v>
      </c>
      <c r="C3" s="11">
        <f>MemberOfAssemblyAssemblyDistrict85General[[#This Row],[Part of Bronx County Vote Results]]</f>
        <v>20783</v>
      </c>
      <c r="D3" s="12">
        <f>MemberOfAssemblyAssemblyDistrict85General[[#This Row],[Total Votes by Party]]</f>
        <v>20783</v>
      </c>
    </row>
    <row r="4" spans="1:4" x14ac:dyDescent="0.2">
      <c r="A4" s="2" t="s">
        <v>478</v>
      </c>
      <c r="B4" s="3">
        <v>805</v>
      </c>
      <c r="C4" s="11">
        <f>MemberOfAssemblyAssemblyDistrict85General[[#This Row],[Part of Bronx County Vote Results]]</f>
        <v>805</v>
      </c>
      <c r="D4" s="12">
        <f>MemberOfAssemblyAssemblyDistrict85General[[#This Row],[Total Votes by Party]]</f>
        <v>805</v>
      </c>
    </row>
    <row r="5" spans="1:4" x14ac:dyDescent="0.2">
      <c r="A5" s="2" t="s">
        <v>479</v>
      </c>
      <c r="B5" s="3">
        <v>167</v>
      </c>
      <c r="C5" s="11">
        <f>MemberOfAssemblyAssemblyDistrict85General[[#This Row],[Part of Bronx County Vote Results]]</f>
        <v>167</v>
      </c>
      <c r="D5" s="12">
        <f>MemberOfAssemblyAssemblyDistrict85General[[#This Row],[Total Votes by Party]]</f>
        <v>167</v>
      </c>
    </row>
    <row r="6" spans="1:4" x14ac:dyDescent="0.2">
      <c r="A6" s="4" t="s">
        <v>0</v>
      </c>
      <c r="B6" s="5">
        <v>1233</v>
      </c>
      <c r="C6" s="11">
        <f>MemberOfAssemblyAssemblyDistrict85General[[#This Row],[Part of Bronx County Vote Results]]</f>
        <v>1233</v>
      </c>
      <c r="D6" s="13"/>
    </row>
    <row r="7" spans="1:4" x14ac:dyDescent="0.2">
      <c r="A7" s="4" t="s">
        <v>1</v>
      </c>
      <c r="B7" s="5">
        <v>0</v>
      </c>
      <c r="C7" s="11">
        <f>MemberOfAssemblyAssemblyDistrict85General[[#This Row],[Part of Bronx County Vote Results]]</f>
        <v>0</v>
      </c>
      <c r="D7" s="13"/>
    </row>
    <row r="8" spans="1:4" x14ac:dyDescent="0.2">
      <c r="A8" s="4" t="s">
        <v>2</v>
      </c>
      <c r="B8" s="5">
        <v>23</v>
      </c>
      <c r="C8" s="11">
        <f>MemberOfAssemblyAssemblyDistrict85General[[#This Row],[Part of Bronx County Vote Results]]</f>
        <v>23</v>
      </c>
      <c r="D8" s="13"/>
    </row>
    <row r="9" spans="1:4" hidden="1" x14ac:dyDescent="0.2">
      <c r="A9" s="4" t="s">
        <v>3</v>
      </c>
      <c r="B9" s="6">
        <f>SUBTOTAL(109,MemberOfAssemblyAssemblyDistrict85General[Total Votes by Candidate])</f>
        <v>21755</v>
      </c>
      <c r="C9" s="11">
        <f>MemberOfAssemblyAssemblyDistrict84General[[#This Row],[Part of Bronx County Vote Results]]</f>
        <v>14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BB44-7F78-42C2-BD7C-F16FA0078027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480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481</v>
      </c>
      <c r="B3" s="3">
        <v>18515</v>
      </c>
      <c r="C3" s="11">
        <f>MemberOfAssemblyAssemblyDistrict86General[[#This Row],[Part of Bronx County Vote Results]]</f>
        <v>18515</v>
      </c>
      <c r="D3" s="12">
        <f>SUM(MemberOfAssemblyAssemblyDistrict86General[[#This Row],[Total Votes by Party]],C6)</f>
        <v>18813</v>
      </c>
    </row>
    <row r="4" spans="1:4" x14ac:dyDescent="0.2">
      <c r="A4" s="2" t="s">
        <v>482</v>
      </c>
      <c r="B4" s="3">
        <v>748</v>
      </c>
      <c r="C4" s="11">
        <f>MemberOfAssemblyAssemblyDistrict86General[[#This Row],[Part of Bronx County Vote Results]]</f>
        <v>748</v>
      </c>
      <c r="D4" s="12">
        <f>MemberOfAssemblyAssemblyDistrict86General[[#This Row],[Total Votes by Party]]</f>
        <v>748</v>
      </c>
    </row>
    <row r="5" spans="1:4" x14ac:dyDescent="0.2">
      <c r="A5" s="2" t="s">
        <v>483</v>
      </c>
      <c r="B5" s="3">
        <v>96</v>
      </c>
      <c r="C5" s="11">
        <f>MemberOfAssemblyAssemblyDistrict86General[[#This Row],[Part of Bronx County Vote Results]]</f>
        <v>96</v>
      </c>
      <c r="D5" s="12">
        <f>MemberOfAssemblyAssemblyDistrict86General[[#This Row],[Total Votes by Party]]</f>
        <v>96</v>
      </c>
    </row>
    <row r="6" spans="1:4" x14ac:dyDescent="0.2">
      <c r="A6" s="2" t="s">
        <v>484</v>
      </c>
      <c r="B6" s="3">
        <v>298</v>
      </c>
      <c r="C6" s="11">
        <f>MemberOfAssemblyAssemblyDistrict86General[[#This Row],[Part of Bronx County Vote Results]]</f>
        <v>298</v>
      </c>
      <c r="D6" s="13"/>
    </row>
    <row r="7" spans="1:4" x14ac:dyDescent="0.2">
      <c r="A7" s="4" t="s">
        <v>0</v>
      </c>
      <c r="B7" s="5">
        <v>1087</v>
      </c>
      <c r="C7" s="11">
        <f>MemberOfAssemblyAssemblyDistrict86General[[#This Row],[Part of Bronx County Vote Results]]</f>
        <v>1087</v>
      </c>
      <c r="D7" s="13"/>
    </row>
    <row r="8" spans="1:4" x14ac:dyDescent="0.2">
      <c r="A8" s="4" t="s">
        <v>1</v>
      </c>
      <c r="B8" s="5">
        <v>0</v>
      </c>
      <c r="C8" s="11">
        <f>MemberOfAssemblyAssemblyDistrict86General[[#This Row],[Part of Bronx County Vote Results]]</f>
        <v>0</v>
      </c>
      <c r="D8" s="13"/>
    </row>
    <row r="9" spans="1:4" x14ac:dyDescent="0.2">
      <c r="A9" s="4" t="s">
        <v>2</v>
      </c>
      <c r="B9" s="5">
        <v>0</v>
      </c>
      <c r="C9" s="11">
        <f>MemberOfAssemblyAssemblyDistrict86General[[#This Row],[Part of Bronx County Vote Results]]</f>
        <v>0</v>
      </c>
      <c r="D9" s="13"/>
    </row>
    <row r="10" spans="1:4" hidden="1" x14ac:dyDescent="0.2">
      <c r="A10" s="4" t="s">
        <v>3</v>
      </c>
      <c r="B10" s="6">
        <f>SUBTOTAL(109,MemberOfAssemblyAssemblyDistrict86General[Total Votes by Candidate])</f>
        <v>19657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ED3F-888B-4704-A4DC-DBEE299F29B4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485</v>
      </c>
    </row>
    <row r="2" spans="1:4" ht="25.5" x14ac:dyDescent="0.2">
      <c r="A2" s="7" t="s">
        <v>5</v>
      </c>
      <c r="B2" s="8" t="s">
        <v>12</v>
      </c>
      <c r="C2" s="9" t="s">
        <v>869</v>
      </c>
      <c r="D2" s="10" t="s">
        <v>4</v>
      </c>
    </row>
    <row r="3" spans="1:4" x14ac:dyDescent="0.2">
      <c r="A3" s="2" t="s">
        <v>486</v>
      </c>
      <c r="B3" s="3">
        <v>23150</v>
      </c>
      <c r="C3" s="11">
        <f>MemberOfAssemblyAssemblyDistrict87General[[#This Row],[Part of Bronx County Vote Results]]</f>
        <v>23150</v>
      </c>
      <c r="D3" s="12">
        <f>SUM(MemberOfAssemblyAssemblyDistrict87General[[#This Row],[Total Votes by Party]],C6)</f>
        <v>23730</v>
      </c>
    </row>
    <row r="4" spans="1:4" x14ac:dyDescent="0.2">
      <c r="A4" s="2" t="s">
        <v>487</v>
      </c>
      <c r="B4" s="3">
        <v>1196</v>
      </c>
      <c r="C4" s="11">
        <f>MemberOfAssemblyAssemblyDistrict87General[[#This Row],[Part of Bronx County Vote Results]]</f>
        <v>1196</v>
      </c>
      <c r="D4" s="12">
        <f>MemberOfAssemblyAssemblyDistrict87General[[#This Row],[Total Votes by Party]]</f>
        <v>1196</v>
      </c>
    </row>
    <row r="5" spans="1:4" x14ac:dyDescent="0.2">
      <c r="A5" s="2" t="s">
        <v>488</v>
      </c>
      <c r="B5" s="3">
        <v>227</v>
      </c>
      <c r="C5" s="11">
        <f>MemberOfAssemblyAssemblyDistrict87General[[#This Row],[Part of Bronx County Vote Results]]</f>
        <v>227</v>
      </c>
      <c r="D5" s="12">
        <f>MemberOfAssemblyAssemblyDistrict87General[[#This Row],[Total Votes by Party]]</f>
        <v>227</v>
      </c>
    </row>
    <row r="6" spans="1:4" x14ac:dyDescent="0.2">
      <c r="A6" s="2" t="s">
        <v>489</v>
      </c>
      <c r="B6" s="3">
        <v>580</v>
      </c>
      <c r="C6" s="11">
        <f>MemberOfAssemblyAssemblyDistrict87General[[#This Row],[Part of Bronx County Vote Results]]</f>
        <v>580</v>
      </c>
      <c r="D6" s="13"/>
    </row>
    <row r="7" spans="1:4" x14ac:dyDescent="0.2">
      <c r="A7" s="4" t="s">
        <v>0</v>
      </c>
      <c r="B7" s="5">
        <v>1330</v>
      </c>
      <c r="C7" s="11">
        <f>MemberOfAssemblyAssemblyDistrict87General[[#This Row],[Part of Bronx County Vote Results]]</f>
        <v>1330</v>
      </c>
      <c r="D7" s="13"/>
    </row>
    <row r="8" spans="1:4" x14ac:dyDescent="0.2">
      <c r="A8" s="4" t="s">
        <v>1</v>
      </c>
      <c r="B8" s="5">
        <v>0</v>
      </c>
      <c r="C8" s="11">
        <f>MemberOfAssemblyAssemblyDistrict87General[[#This Row],[Part of Bronx County Vote Results]]</f>
        <v>0</v>
      </c>
      <c r="D8" s="13"/>
    </row>
    <row r="9" spans="1:4" x14ac:dyDescent="0.2">
      <c r="A9" s="4" t="s">
        <v>2</v>
      </c>
      <c r="B9" s="5">
        <v>18</v>
      </c>
      <c r="C9" s="11">
        <f>MemberOfAssemblyAssemblyDistrict87General[[#This Row],[Part of Bronx County Vote Results]]</f>
        <v>18</v>
      </c>
      <c r="D9" s="13"/>
    </row>
    <row r="10" spans="1:4" hidden="1" x14ac:dyDescent="0.2">
      <c r="A10" s="4" t="s">
        <v>3</v>
      </c>
      <c r="B10" s="6">
        <f>SUBTOTAL(109,MemberOfAssemblyAssemblyDistrict87General[Total Votes by Candidate])</f>
        <v>25153</v>
      </c>
    </row>
    <row r="11" spans="1:4" x14ac:dyDescent="0.2">
      <c r="B11" s="14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5FA1-0764-430E-BED9-A5BC7DF16C23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490</v>
      </c>
    </row>
    <row r="2" spans="1:4" ht="25.5" x14ac:dyDescent="0.2">
      <c r="A2" s="7" t="s">
        <v>5</v>
      </c>
      <c r="B2" s="8" t="s">
        <v>13</v>
      </c>
      <c r="C2" s="9" t="s">
        <v>869</v>
      </c>
      <c r="D2" s="10" t="s">
        <v>4</v>
      </c>
    </row>
    <row r="3" spans="1:4" x14ac:dyDescent="0.2">
      <c r="A3" s="2" t="s">
        <v>491</v>
      </c>
      <c r="B3" s="3">
        <v>36379</v>
      </c>
      <c r="C3" s="11">
        <f>MemberOfAssemblyAssemblyDistrict88General[[#This Row],[Part of Westchester County Vote Results]]</f>
        <v>36379</v>
      </c>
      <c r="D3" s="12">
        <f>SUM(C3:C6)</f>
        <v>39491</v>
      </c>
    </row>
    <row r="4" spans="1:4" x14ac:dyDescent="0.2">
      <c r="A4" s="2" t="s">
        <v>492</v>
      </c>
      <c r="B4" s="3">
        <v>1921</v>
      </c>
      <c r="C4" s="11">
        <f>MemberOfAssemblyAssemblyDistrict88General[[#This Row],[Part of Westchester County Vote Results]]</f>
        <v>1921</v>
      </c>
      <c r="D4" s="13"/>
    </row>
    <row r="5" spans="1:4" x14ac:dyDescent="0.2">
      <c r="A5" s="2" t="s">
        <v>493</v>
      </c>
      <c r="B5" s="3">
        <v>720</v>
      </c>
      <c r="C5" s="11">
        <f>MemberOfAssemblyAssemblyDistrict88General[[#This Row],[Part of Westchester County Vote Results]]</f>
        <v>720</v>
      </c>
      <c r="D5" s="13"/>
    </row>
    <row r="6" spans="1:4" x14ac:dyDescent="0.2">
      <c r="A6" s="2" t="s">
        <v>494</v>
      </c>
      <c r="B6" s="3">
        <v>471</v>
      </c>
      <c r="C6" s="11">
        <f>MemberOfAssemblyAssemblyDistrict88General[[#This Row],[Part of Westchester County Vote Results]]</f>
        <v>471</v>
      </c>
      <c r="D6" s="13"/>
    </row>
    <row r="7" spans="1:4" x14ac:dyDescent="0.2">
      <c r="A7" s="4" t="s">
        <v>0</v>
      </c>
      <c r="B7" s="5">
        <v>13351</v>
      </c>
      <c r="C7" s="11">
        <f>MemberOfAssemblyAssemblyDistrict88General[[#This Row],[Part of Westchester County Vote Results]]</f>
        <v>13351</v>
      </c>
      <c r="D7" s="13"/>
    </row>
    <row r="8" spans="1:4" x14ac:dyDescent="0.2">
      <c r="A8" s="4" t="s">
        <v>1</v>
      </c>
      <c r="B8" s="5">
        <v>0</v>
      </c>
      <c r="C8" s="11">
        <f>MemberOfAssemblyAssemblyDistrict88General[[#This Row],[Part of Westchester County Vote Results]]</f>
        <v>0</v>
      </c>
      <c r="D8" s="13"/>
    </row>
    <row r="9" spans="1:4" x14ac:dyDescent="0.2">
      <c r="A9" s="4" t="s">
        <v>2</v>
      </c>
      <c r="B9" s="5">
        <v>320</v>
      </c>
      <c r="C9" s="11">
        <f>MemberOfAssemblyAssemblyDistrict88General[[#This Row],[Part of Westchester County Vote Results]]</f>
        <v>320</v>
      </c>
      <c r="D9" s="13"/>
    </row>
    <row r="10" spans="1:4" hidden="1" x14ac:dyDescent="0.2">
      <c r="A10" s="4" t="s">
        <v>3</v>
      </c>
      <c r="B10" s="6">
        <f>SUBTOTAL(109,MemberOfAssemblyAssemblyDistrict88General[Total Votes by Candidate])</f>
        <v>39491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BA7E-8A99-4364-8944-4F4F7A139CBF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495</v>
      </c>
    </row>
    <row r="2" spans="1:4" ht="25.5" x14ac:dyDescent="0.2">
      <c r="A2" s="7" t="s">
        <v>5</v>
      </c>
      <c r="B2" s="8" t="s">
        <v>13</v>
      </c>
      <c r="C2" s="9" t="s">
        <v>869</v>
      </c>
      <c r="D2" s="10" t="s">
        <v>4</v>
      </c>
    </row>
    <row r="3" spans="1:4" x14ac:dyDescent="0.2">
      <c r="A3" s="2" t="s">
        <v>496</v>
      </c>
      <c r="B3" s="3">
        <v>28114</v>
      </c>
      <c r="C3" s="11">
        <f>MemberOfAssemblyAssemblyDistrict89General[[#This Row],[Part of Westchester County Vote Results]]</f>
        <v>28114</v>
      </c>
      <c r="D3" s="12">
        <f>MemberOfAssemblyAssemblyDistrict89General[[#This Row],[Total Votes by Party]]</f>
        <v>28114</v>
      </c>
    </row>
    <row r="4" spans="1:4" x14ac:dyDescent="0.2">
      <c r="A4" s="4" t="s">
        <v>0</v>
      </c>
      <c r="B4" s="5">
        <v>6222</v>
      </c>
      <c r="C4" s="11">
        <f>MemberOfAssemblyAssemblyDistrict89General[[#This Row],[Part of Westchester County Vote Results]]</f>
        <v>6222</v>
      </c>
      <c r="D4" s="13"/>
    </row>
    <row r="5" spans="1:4" x14ac:dyDescent="0.2">
      <c r="A5" s="4" t="s">
        <v>1</v>
      </c>
      <c r="B5" s="5">
        <v>0</v>
      </c>
      <c r="C5" s="11">
        <f>MemberOfAssemblyAssemblyDistrict89General[[#This Row],[Part of Westchester County Vote Results]]</f>
        <v>0</v>
      </c>
      <c r="D5" s="13"/>
    </row>
    <row r="6" spans="1:4" x14ac:dyDescent="0.2">
      <c r="A6" s="4" t="s">
        <v>2</v>
      </c>
      <c r="B6" s="5">
        <v>127</v>
      </c>
      <c r="C6" s="11">
        <f>MemberOfAssemblyAssemblyDistrict89General[[#This Row],[Part of Westchester County Vote Results]]</f>
        <v>127</v>
      </c>
      <c r="D6" s="13"/>
    </row>
    <row r="7" spans="1:4" hidden="1" x14ac:dyDescent="0.2">
      <c r="A7" s="4" t="s">
        <v>3</v>
      </c>
      <c r="B7" s="6">
        <f>SUBTOTAL(109,MemberOfAssemblyAssemblyDistrict89General[Total Votes by Candidate])</f>
        <v>28114</v>
      </c>
      <c r="C7" s="11">
        <f>MemberOfAssemblyAssemblyDistrict88General[[#This Row],[Part of Westchester County Vote Results]]</f>
        <v>13351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8E69-2551-4BE8-9112-356AAC0C0DB3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119</v>
      </c>
    </row>
    <row r="2" spans="1:5" ht="25.5" x14ac:dyDescent="0.2">
      <c r="A2" s="7" t="s">
        <v>5</v>
      </c>
      <c r="B2" s="8" t="s">
        <v>7</v>
      </c>
      <c r="C2" s="8" t="s">
        <v>6</v>
      </c>
      <c r="D2" s="9" t="s">
        <v>869</v>
      </c>
      <c r="E2" s="10" t="s">
        <v>4</v>
      </c>
    </row>
    <row r="3" spans="1:5" x14ac:dyDescent="0.2">
      <c r="A3" s="2" t="s">
        <v>120</v>
      </c>
      <c r="B3" s="3">
        <v>8777</v>
      </c>
      <c r="C3" s="3">
        <v>12314</v>
      </c>
      <c r="D3" s="11">
        <f>SUM(MemberOfAssemblyAssemblyDistrict9General[[#This Row],[Part of Nassau County Vote Results]:[Part of Suffolk County Vote Results]])</f>
        <v>21091</v>
      </c>
      <c r="E3" s="12">
        <f>SUM(MemberOfAssemblyAssemblyDistrict9General[[#This Row],[Total Votes by Party]],D6,D7,D8)</f>
        <v>22436</v>
      </c>
    </row>
    <row r="4" spans="1:5" x14ac:dyDescent="0.2">
      <c r="A4" s="2" t="s">
        <v>121</v>
      </c>
      <c r="B4" s="3">
        <v>11972</v>
      </c>
      <c r="C4" s="3">
        <v>13640</v>
      </c>
      <c r="D4" s="11">
        <f>SUM(MemberOfAssemblyAssemblyDistrict9General[[#This Row],[Part of Nassau County Vote Results]:[Part of Suffolk County Vote Results]])</f>
        <v>25612</v>
      </c>
      <c r="E4" s="12">
        <f>SUM(MemberOfAssemblyAssemblyDistrict9General[[#This Row],[Total Votes by Party]],D5,D9)</f>
        <v>28482</v>
      </c>
    </row>
    <row r="5" spans="1:5" x14ac:dyDescent="0.2">
      <c r="A5" s="2" t="s">
        <v>122</v>
      </c>
      <c r="B5" s="3">
        <v>1291</v>
      </c>
      <c r="C5" s="3">
        <v>1410</v>
      </c>
      <c r="D5" s="11">
        <f>SUM(MemberOfAssemblyAssemblyDistrict9General[[#This Row],[Part of Nassau County Vote Results]:[Part of Suffolk County Vote Results]])</f>
        <v>2701</v>
      </c>
      <c r="E5" s="13"/>
    </row>
    <row r="6" spans="1:5" x14ac:dyDescent="0.2">
      <c r="A6" s="2" t="s">
        <v>123</v>
      </c>
      <c r="B6" s="3">
        <v>210</v>
      </c>
      <c r="C6" s="3">
        <v>313</v>
      </c>
      <c r="D6" s="11">
        <f>SUM(MemberOfAssemblyAssemblyDistrict9General[[#This Row],[Part of Nassau County Vote Results]:[Part of Suffolk County Vote Results]])</f>
        <v>523</v>
      </c>
      <c r="E6" s="13"/>
    </row>
    <row r="7" spans="1:5" x14ac:dyDescent="0.2">
      <c r="A7" s="2" t="s">
        <v>124</v>
      </c>
      <c r="B7" s="3">
        <v>182</v>
      </c>
      <c r="C7" s="3">
        <v>365</v>
      </c>
      <c r="D7" s="11">
        <f>SUM(MemberOfAssemblyAssemblyDistrict9General[[#This Row],[Part of Nassau County Vote Results]:[Part of Suffolk County Vote Results]])</f>
        <v>547</v>
      </c>
      <c r="E7" s="13"/>
    </row>
    <row r="8" spans="1:5" x14ac:dyDescent="0.2">
      <c r="A8" s="2" t="s">
        <v>125</v>
      </c>
      <c r="B8" s="3">
        <v>106</v>
      </c>
      <c r="C8" s="3">
        <v>169</v>
      </c>
      <c r="D8" s="11">
        <f>SUM(MemberOfAssemblyAssemblyDistrict9General[[#This Row],[Part of Nassau County Vote Results]:[Part of Suffolk County Vote Results]])</f>
        <v>275</v>
      </c>
      <c r="E8" s="13"/>
    </row>
    <row r="9" spans="1:5" x14ac:dyDescent="0.2">
      <c r="A9" s="2" t="s">
        <v>126</v>
      </c>
      <c r="B9" s="3">
        <v>68</v>
      </c>
      <c r="C9" s="3">
        <v>101</v>
      </c>
      <c r="D9" s="11">
        <f>SUM(MemberOfAssemblyAssemblyDistrict9General[[#This Row],[Part of Nassau County Vote Results]:[Part of Suffolk County Vote Results]])</f>
        <v>169</v>
      </c>
      <c r="E9" s="13"/>
    </row>
    <row r="10" spans="1:5" x14ac:dyDescent="0.2">
      <c r="A10" s="4" t="s">
        <v>0</v>
      </c>
      <c r="B10" s="3">
        <v>517</v>
      </c>
      <c r="C10" s="3">
        <v>839</v>
      </c>
      <c r="D10" s="11">
        <f>SUM(MemberOfAssemblyAssemblyDistrict9General[[#This Row],[Part of Nassau County Vote Results]:[Part of Suffolk County Vote Results]])</f>
        <v>1356</v>
      </c>
      <c r="E10" s="13"/>
    </row>
    <row r="11" spans="1:5" x14ac:dyDescent="0.2">
      <c r="A11" s="4" t="s">
        <v>1</v>
      </c>
      <c r="B11" s="3">
        <v>12</v>
      </c>
      <c r="C11" s="3">
        <v>9</v>
      </c>
      <c r="D11" s="11">
        <f>SUM(MemberOfAssemblyAssemblyDistrict9General[[#This Row],[Part of Nassau County Vote Results]:[Part of Suffolk County Vote Results]])</f>
        <v>21</v>
      </c>
      <c r="E11" s="13"/>
    </row>
    <row r="12" spans="1:5" x14ac:dyDescent="0.2">
      <c r="A12" s="4" t="s">
        <v>2</v>
      </c>
      <c r="B12" s="5">
        <v>1</v>
      </c>
      <c r="C12" s="5">
        <v>5</v>
      </c>
      <c r="D12" s="11">
        <f>SUM(MemberOfAssemblyAssemblyDistrict9General[[#This Row],[Part of Nassau County Vote Results]:[Part of Suffolk County Vote Results]])</f>
        <v>6</v>
      </c>
      <c r="E12" s="13"/>
    </row>
    <row r="13" spans="1:5" hidden="1" x14ac:dyDescent="0.2">
      <c r="A13" s="4" t="s">
        <v>3</v>
      </c>
      <c r="B13" s="6">
        <f>SUBTOTAL(109,MemberOfAssemblyAssemblyDistrict9General[Part of Nassau County Vote Results])</f>
        <v>23136</v>
      </c>
      <c r="C13" s="6">
        <f>SUBTOTAL(109,MemberOfAssemblyAssemblyDistrict9General[Part of Suffolk County Vote Results])</f>
        <v>29165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8A9EC-6A37-4534-BA5C-97204039A938}">
  <sheetPr>
    <pageSetUpPr fitToPage="1"/>
  </sheetPr>
  <dimension ref="A1:D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497</v>
      </c>
    </row>
    <row r="2" spans="1:4" ht="25.5" x14ac:dyDescent="0.2">
      <c r="A2" s="7" t="s">
        <v>5</v>
      </c>
      <c r="B2" s="8" t="s">
        <v>13</v>
      </c>
      <c r="C2" s="9" t="s">
        <v>869</v>
      </c>
      <c r="D2" s="10" t="s">
        <v>4</v>
      </c>
    </row>
    <row r="3" spans="1:4" x14ac:dyDescent="0.2">
      <c r="A3" s="2" t="s">
        <v>498</v>
      </c>
      <c r="B3" s="3">
        <v>22276</v>
      </c>
      <c r="C3" s="11">
        <f>MemberOfAssemblyAssemblyDistrict90General[[#This Row],[Part of Westchester County Vote Results]]</f>
        <v>22276</v>
      </c>
      <c r="D3" s="12">
        <f>SUM(MemberOfAssemblyAssemblyDistrict90General[[#This Row],[Total Votes by Party]],C6:C10)</f>
        <v>23753</v>
      </c>
    </row>
    <row r="4" spans="1:4" x14ac:dyDescent="0.2">
      <c r="A4" s="2" t="s">
        <v>499</v>
      </c>
      <c r="B4" s="3">
        <v>10772</v>
      </c>
      <c r="C4" s="11">
        <f>MemberOfAssemblyAssemblyDistrict90General[[#This Row],[Part of Westchester County Vote Results]]</f>
        <v>10772</v>
      </c>
      <c r="D4" s="12">
        <f>SUM(C4:C5)</f>
        <v>12632</v>
      </c>
    </row>
    <row r="5" spans="1:4" x14ac:dyDescent="0.2">
      <c r="A5" s="2" t="s">
        <v>500</v>
      </c>
      <c r="B5" s="3">
        <v>1860</v>
      </c>
      <c r="C5" s="11">
        <f>MemberOfAssemblyAssemblyDistrict90General[[#This Row],[Part of Westchester County Vote Results]]</f>
        <v>1860</v>
      </c>
      <c r="D5" s="13"/>
    </row>
    <row r="6" spans="1:4" x14ac:dyDescent="0.2">
      <c r="A6" s="2" t="s">
        <v>501</v>
      </c>
      <c r="B6" s="3">
        <v>201</v>
      </c>
      <c r="C6" s="11">
        <f>MemberOfAssemblyAssemblyDistrict90General[[#This Row],[Part of Westchester County Vote Results]]</f>
        <v>201</v>
      </c>
      <c r="D6" s="13"/>
    </row>
    <row r="7" spans="1:4" x14ac:dyDescent="0.2">
      <c r="A7" s="2" t="s">
        <v>502</v>
      </c>
      <c r="B7" s="3">
        <v>554</v>
      </c>
      <c r="C7" s="11">
        <f>MemberOfAssemblyAssemblyDistrict90General[[#This Row],[Part of Westchester County Vote Results]]</f>
        <v>554</v>
      </c>
      <c r="D7" s="13"/>
    </row>
    <row r="8" spans="1:4" x14ac:dyDescent="0.2">
      <c r="A8" s="2" t="s">
        <v>503</v>
      </c>
      <c r="B8" s="3">
        <v>437</v>
      </c>
      <c r="C8" s="11">
        <f>MemberOfAssemblyAssemblyDistrict90General[[#This Row],[Part of Westchester County Vote Results]]</f>
        <v>437</v>
      </c>
      <c r="D8" s="13"/>
    </row>
    <row r="9" spans="1:4" x14ac:dyDescent="0.2">
      <c r="A9" s="2" t="s">
        <v>504</v>
      </c>
      <c r="B9" s="3">
        <v>227</v>
      </c>
      <c r="C9" s="11">
        <f>MemberOfAssemblyAssemblyDistrict90General[[#This Row],[Part of Westchester County Vote Results]]</f>
        <v>227</v>
      </c>
      <c r="D9" s="13"/>
    </row>
    <row r="10" spans="1:4" x14ac:dyDescent="0.2">
      <c r="A10" s="2" t="s">
        <v>505</v>
      </c>
      <c r="B10" s="3">
        <v>58</v>
      </c>
      <c r="C10" s="11">
        <f>MemberOfAssemblyAssemblyDistrict90General[[#This Row],[Part of Westchester County Vote Results]]</f>
        <v>58</v>
      </c>
      <c r="D10" s="13"/>
    </row>
    <row r="11" spans="1:4" x14ac:dyDescent="0.2">
      <c r="A11" s="4" t="s">
        <v>0</v>
      </c>
      <c r="B11" s="5">
        <v>1954</v>
      </c>
      <c r="C11" s="11">
        <f>MemberOfAssemblyAssemblyDistrict90General[[#This Row],[Part of Westchester County Vote Results]]</f>
        <v>1954</v>
      </c>
      <c r="D11" s="13"/>
    </row>
    <row r="12" spans="1:4" x14ac:dyDescent="0.2">
      <c r="A12" s="4" t="s">
        <v>1</v>
      </c>
      <c r="B12" s="5">
        <v>0</v>
      </c>
      <c r="C12" s="11">
        <f>MemberOfAssemblyAssemblyDistrict90General[[#This Row],[Part of Westchester County Vote Results]]</f>
        <v>0</v>
      </c>
      <c r="D12" s="13"/>
    </row>
    <row r="13" spans="1:4" x14ac:dyDescent="0.2">
      <c r="A13" s="4" t="s">
        <v>2</v>
      </c>
      <c r="B13" s="5">
        <v>24</v>
      </c>
      <c r="C13" s="11">
        <f>MemberOfAssemblyAssemblyDistrict90General[[#This Row],[Part of Westchester County Vote Results]]</f>
        <v>24</v>
      </c>
      <c r="D13" s="13"/>
    </row>
    <row r="14" spans="1:4" hidden="1" x14ac:dyDescent="0.2">
      <c r="A14" s="4" t="s">
        <v>3</v>
      </c>
      <c r="B14" s="6">
        <f>SUBTOTAL(109,MemberOfAssemblyAssemblyDistrict90General[Total Votes by Candidate])</f>
        <v>36385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838A-E37B-44A2-A075-FD1E7ED59238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506</v>
      </c>
    </row>
    <row r="2" spans="1:4" ht="25.5" x14ac:dyDescent="0.2">
      <c r="A2" s="7" t="s">
        <v>5</v>
      </c>
      <c r="B2" s="8" t="s">
        <v>13</v>
      </c>
      <c r="C2" s="9" t="s">
        <v>869</v>
      </c>
      <c r="D2" s="10" t="s">
        <v>4</v>
      </c>
    </row>
    <row r="3" spans="1:4" x14ac:dyDescent="0.2">
      <c r="A3" s="2" t="s">
        <v>507</v>
      </c>
      <c r="B3" s="3">
        <v>28876</v>
      </c>
      <c r="C3" s="11">
        <f>MemberOfAssemblyAssemblyDistrict91General[[#This Row],[Part of Westchester County Vote Results]]</f>
        <v>28876</v>
      </c>
      <c r="D3" s="12">
        <f>SUM(C3:C5)</f>
        <v>30858</v>
      </c>
    </row>
    <row r="4" spans="1:4" x14ac:dyDescent="0.2">
      <c r="A4" s="2" t="s">
        <v>508</v>
      </c>
      <c r="B4" s="3">
        <v>1375</v>
      </c>
      <c r="C4" s="11">
        <f>MemberOfAssemblyAssemblyDistrict91General[[#This Row],[Part of Westchester County Vote Results]]</f>
        <v>1375</v>
      </c>
      <c r="D4" s="13"/>
    </row>
    <row r="5" spans="1:4" x14ac:dyDescent="0.2">
      <c r="A5" s="2" t="s">
        <v>509</v>
      </c>
      <c r="B5" s="3">
        <v>607</v>
      </c>
      <c r="C5" s="11">
        <f>MemberOfAssemblyAssemblyDistrict91General[[#This Row],[Part of Westchester County Vote Results]]</f>
        <v>607</v>
      </c>
      <c r="D5" s="13"/>
    </row>
    <row r="6" spans="1:4" x14ac:dyDescent="0.2">
      <c r="A6" s="4" t="s">
        <v>0</v>
      </c>
      <c r="B6" s="5">
        <v>10804</v>
      </c>
      <c r="C6" s="11">
        <f>MemberOfAssemblyAssemblyDistrict91General[[#This Row],[Part of Westchester County Vote Results]]</f>
        <v>10804</v>
      </c>
      <c r="D6" s="13"/>
    </row>
    <row r="7" spans="1:4" x14ac:dyDescent="0.2">
      <c r="A7" s="4" t="s">
        <v>1</v>
      </c>
      <c r="B7" s="5">
        <v>0</v>
      </c>
      <c r="C7" s="11">
        <f>MemberOfAssemblyAssemblyDistrict91General[[#This Row],[Part of Westchester County Vote Results]]</f>
        <v>0</v>
      </c>
      <c r="D7" s="13"/>
    </row>
    <row r="8" spans="1:4" x14ac:dyDescent="0.2">
      <c r="A8" s="4" t="s">
        <v>2</v>
      </c>
      <c r="B8" s="5">
        <v>156</v>
      </c>
      <c r="C8" s="11">
        <f>MemberOfAssemblyAssemblyDistrict91General[[#This Row],[Part of Westchester County Vote Results]]</f>
        <v>156</v>
      </c>
      <c r="D8" s="13"/>
    </row>
    <row r="9" spans="1:4" hidden="1" x14ac:dyDescent="0.2">
      <c r="A9" s="4" t="s">
        <v>3</v>
      </c>
      <c r="B9" s="6">
        <f>SUBTOTAL(109,MemberOfAssemblyAssemblyDistrict91General[Total Votes by Candidate])</f>
        <v>30858</v>
      </c>
      <c r="C9" s="11">
        <f>MemberOfAssemblyAssemblyDistrict90General[[#This Row],[Part of Westchester County Vote Results]]</f>
        <v>227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46D4-A363-45AA-9BF6-C604C83A3D1B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510</v>
      </c>
    </row>
    <row r="2" spans="1:4" ht="25.5" x14ac:dyDescent="0.2">
      <c r="A2" s="7" t="s">
        <v>5</v>
      </c>
      <c r="B2" s="8" t="s">
        <v>13</v>
      </c>
      <c r="C2" s="9" t="s">
        <v>869</v>
      </c>
      <c r="D2" s="10" t="s">
        <v>4</v>
      </c>
    </row>
    <row r="3" spans="1:4" x14ac:dyDescent="0.2">
      <c r="A3" s="2" t="s">
        <v>511</v>
      </c>
      <c r="B3" s="3">
        <v>38257</v>
      </c>
      <c r="C3" s="11">
        <f>MemberOfAssemblyAssemblyDistrict92General[[#This Row],[Part of Westchester County Vote Results]]</f>
        <v>38257</v>
      </c>
      <c r="D3" s="12">
        <f>SUM(C3:C5)</f>
        <v>41362</v>
      </c>
    </row>
    <row r="4" spans="1:4" x14ac:dyDescent="0.2">
      <c r="A4" s="2" t="s">
        <v>512</v>
      </c>
      <c r="B4" s="3">
        <v>2317</v>
      </c>
      <c r="C4" s="11">
        <f>MemberOfAssemblyAssemblyDistrict92General[[#This Row],[Part of Westchester County Vote Results]]</f>
        <v>2317</v>
      </c>
      <c r="D4" s="13"/>
    </row>
    <row r="5" spans="1:4" x14ac:dyDescent="0.2">
      <c r="A5" s="2" t="s">
        <v>513</v>
      </c>
      <c r="B5" s="3">
        <v>788</v>
      </c>
      <c r="C5" s="11">
        <f>MemberOfAssemblyAssemblyDistrict92General[[#This Row],[Part of Westchester County Vote Results]]</f>
        <v>788</v>
      </c>
      <c r="D5" s="13"/>
    </row>
    <row r="6" spans="1:4" x14ac:dyDescent="0.2">
      <c r="A6" s="4" t="s">
        <v>0</v>
      </c>
      <c r="B6" s="5">
        <v>13938</v>
      </c>
      <c r="C6" s="11">
        <f>MemberOfAssemblyAssemblyDistrict92General[[#This Row],[Part of Westchester County Vote Results]]</f>
        <v>13938</v>
      </c>
      <c r="D6" s="13"/>
    </row>
    <row r="7" spans="1:4" x14ac:dyDescent="0.2">
      <c r="A7" s="4" t="s">
        <v>1</v>
      </c>
      <c r="B7" s="5">
        <v>0</v>
      </c>
      <c r="C7" s="11">
        <f>MemberOfAssemblyAssemblyDistrict92General[[#This Row],[Part of Westchester County Vote Results]]</f>
        <v>0</v>
      </c>
      <c r="D7" s="13"/>
    </row>
    <row r="8" spans="1:4" x14ac:dyDescent="0.2">
      <c r="A8" s="4" t="s">
        <v>2</v>
      </c>
      <c r="B8" s="5">
        <v>290</v>
      </c>
      <c r="C8" s="11">
        <f>MemberOfAssemblyAssemblyDistrict92General[[#This Row],[Part of Westchester County Vote Results]]</f>
        <v>290</v>
      </c>
      <c r="D8" s="13"/>
    </row>
    <row r="9" spans="1:4" hidden="1" x14ac:dyDescent="0.2">
      <c r="A9" s="4" t="s">
        <v>3</v>
      </c>
      <c r="B9" s="6">
        <f>SUBTOTAL(109,MemberOfAssemblyAssemblyDistrict92General[Total Votes by Candidate])</f>
        <v>41362</v>
      </c>
      <c r="C9" s="11">
        <f>MemberOfAssemblyAssemblyDistrict90General[[#This Row],[Part of Westchester County Vote Results]]</f>
        <v>227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6E9E-8A32-4D67-9A55-D8D8989FB79D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514</v>
      </c>
    </row>
    <row r="2" spans="1:4" ht="25.5" x14ac:dyDescent="0.2">
      <c r="A2" s="7" t="s">
        <v>5</v>
      </c>
      <c r="B2" s="8" t="s">
        <v>13</v>
      </c>
      <c r="C2" s="9" t="s">
        <v>869</v>
      </c>
      <c r="D2" s="10" t="s">
        <v>4</v>
      </c>
    </row>
    <row r="3" spans="1:4" x14ac:dyDescent="0.2">
      <c r="A3" s="2" t="s">
        <v>515</v>
      </c>
      <c r="B3" s="3">
        <v>33543</v>
      </c>
      <c r="C3" s="11">
        <f>MemberOfAssemblyAssemblyDistrict93General[[#This Row],[Part of Westchester County Vote Results]]</f>
        <v>33543</v>
      </c>
      <c r="D3" s="12">
        <f>SUM(MemberOfAssemblyAssemblyDistrict93General[[#This Row],[Total Votes by Party]],C6:C9)</f>
        <v>35534</v>
      </c>
    </row>
    <row r="4" spans="1:4" x14ac:dyDescent="0.2">
      <c r="A4" s="2" t="s">
        <v>516</v>
      </c>
      <c r="B4" s="3">
        <v>13964</v>
      </c>
      <c r="C4" s="11">
        <f>MemberOfAssemblyAssemblyDistrict93General[[#This Row],[Part of Westchester County Vote Results]]</f>
        <v>13964</v>
      </c>
      <c r="D4" s="12">
        <f>SUM(C4:C5)</f>
        <v>15760</v>
      </c>
    </row>
    <row r="5" spans="1:4" x14ac:dyDescent="0.2">
      <c r="A5" s="2" t="s">
        <v>517</v>
      </c>
      <c r="B5" s="3">
        <v>1796</v>
      </c>
      <c r="C5" s="11">
        <f>MemberOfAssemblyAssemblyDistrict93General[[#This Row],[Part of Westchester County Vote Results]]</f>
        <v>1796</v>
      </c>
      <c r="D5" s="13"/>
    </row>
    <row r="6" spans="1:4" x14ac:dyDescent="0.2">
      <c r="A6" s="2" t="s">
        <v>518</v>
      </c>
      <c r="B6" s="3">
        <v>781</v>
      </c>
      <c r="C6" s="11">
        <f>MemberOfAssemblyAssemblyDistrict93General[[#This Row],[Part of Westchester County Vote Results]]</f>
        <v>781</v>
      </c>
      <c r="D6" s="13"/>
    </row>
    <row r="7" spans="1:4" x14ac:dyDescent="0.2">
      <c r="A7" s="2" t="s">
        <v>519</v>
      </c>
      <c r="B7" s="3">
        <v>754</v>
      </c>
      <c r="C7" s="11">
        <f>MemberOfAssemblyAssemblyDistrict93General[[#This Row],[Part of Westchester County Vote Results]]</f>
        <v>754</v>
      </c>
      <c r="D7" s="13"/>
    </row>
    <row r="8" spans="1:4" x14ac:dyDescent="0.2">
      <c r="A8" s="2" t="s">
        <v>520</v>
      </c>
      <c r="B8" s="3">
        <v>347</v>
      </c>
      <c r="C8" s="11">
        <f>MemberOfAssemblyAssemblyDistrict93General[[#This Row],[Part of Westchester County Vote Results]]</f>
        <v>347</v>
      </c>
      <c r="D8" s="13"/>
    </row>
    <row r="9" spans="1:4" x14ac:dyDescent="0.2">
      <c r="A9" s="2" t="s">
        <v>521</v>
      </c>
      <c r="B9" s="3">
        <v>109</v>
      </c>
      <c r="C9" s="11">
        <f>MemberOfAssemblyAssemblyDistrict93General[[#This Row],[Part of Westchester County Vote Results]]</f>
        <v>109</v>
      </c>
      <c r="D9" s="13"/>
    </row>
    <row r="10" spans="1:4" x14ac:dyDescent="0.2">
      <c r="A10" s="4" t="s">
        <v>0</v>
      </c>
      <c r="B10" s="5">
        <v>2005</v>
      </c>
      <c r="C10" s="11">
        <f>MemberOfAssemblyAssemblyDistrict93General[[#This Row],[Part of Westchester County Vote Results]]</f>
        <v>2005</v>
      </c>
      <c r="D10" s="13"/>
    </row>
    <row r="11" spans="1:4" x14ac:dyDescent="0.2">
      <c r="A11" s="4" t="s">
        <v>1</v>
      </c>
      <c r="B11" s="5">
        <v>0</v>
      </c>
      <c r="C11" s="11">
        <f>MemberOfAssemblyAssemblyDistrict93General[[#This Row],[Part of Westchester County Vote Results]]</f>
        <v>0</v>
      </c>
      <c r="D11" s="13"/>
    </row>
    <row r="12" spans="1:4" x14ac:dyDescent="0.2">
      <c r="A12" s="4" t="s">
        <v>2</v>
      </c>
      <c r="B12" s="5">
        <v>20</v>
      </c>
      <c r="C12" s="11">
        <f>MemberOfAssemblyAssemblyDistrict93General[[#This Row],[Part of Westchester County Vote Results]]</f>
        <v>20</v>
      </c>
      <c r="D12" s="13"/>
    </row>
    <row r="13" spans="1:4" hidden="1" x14ac:dyDescent="0.2">
      <c r="A13" s="4" t="s">
        <v>3</v>
      </c>
      <c r="B13" s="6">
        <f>SUBTOTAL(109,MemberOfAssemblyAssemblyDistrict93General[Total Votes by Candidate])</f>
        <v>51294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7594A-18BC-43BF-AC70-1270246AC664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522</v>
      </c>
    </row>
    <row r="2" spans="1:5" ht="25.5" x14ac:dyDescent="0.2">
      <c r="A2" s="7" t="s">
        <v>5</v>
      </c>
      <c r="B2" s="8" t="s">
        <v>14</v>
      </c>
      <c r="C2" s="8" t="s">
        <v>13</v>
      </c>
      <c r="D2" s="9" t="s">
        <v>869</v>
      </c>
      <c r="E2" s="10" t="s">
        <v>4</v>
      </c>
    </row>
    <row r="3" spans="1:5" x14ac:dyDescent="0.2">
      <c r="A3" s="2" t="s">
        <v>523</v>
      </c>
      <c r="B3" s="3">
        <v>10122</v>
      </c>
      <c r="C3" s="3">
        <v>11482</v>
      </c>
      <c r="D3" s="11">
        <f>SUM(MemberOfAssemblyAssemblyDistrict94General[[#This Row],[Part of Putnam County Vote Results]:[Part of Westchester County Vote Results]])</f>
        <v>21604</v>
      </c>
      <c r="E3" s="12">
        <f>SUM(MemberOfAssemblyAssemblyDistrict94General[[#This Row],[Total Votes by Party]],D6:D8)</f>
        <v>23162</v>
      </c>
    </row>
    <row r="4" spans="1:5" x14ac:dyDescent="0.2">
      <c r="A4" s="2" t="s">
        <v>524</v>
      </c>
      <c r="B4" s="3">
        <v>14569</v>
      </c>
      <c r="C4" s="3">
        <v>11046</v>
      </c>
      <c r="D4" s="11">
        <f>SUM(MemberOfAssemblyAssemblyDistrict94General[[#This Row],[Part of Putnam County Vote Results]:[Part of Westchester County Vote Results]])</f>
        <v>25615</v>
      </c>
      <c r="E4" s="12">
        <f>SUM(D4:D5,D9)</f>
        <v>29491</v>
      </c>
    </row>
    <row r="5" spans="1:5" x14ac:dyDescent="0.2">
      <c r="A5" s="2" t="s">
        <v>525</v>
      </c>
      <c r="B5" s="3">
        <v>2142</v>
      </c>
      <c r="C5" s="3">
        <v>1500</v>
      </c>
      <c r="D5" s="11">
        <f>SUM(MemberOfAssemblyAssemblyDistrict94General[[#This Row],[Part of Putnam County Vote Results]:[Part of Westchester County Vote Results]])</f>
        <v>3642</v>
      </c>
      <c r="E5" s="13"/>
    </row>
    <row r="6" spans="1:5" x14ac:dyDescent="0.2">
      <c r="A6" s="2" t="s">
        <v>526</v>
      </c>
      <c r="B6" s="3">
        <v>331</v>
      </c>
      <c r="C6" s="3">
        <v>312</v>
      </c>
      <c r="D6" s="11">
        <f>SUM(MemberOfAssemblyAssemblyDistrict94General[[#This Row],[Part of Putnam County Vote Results]:[Part of Westchester County Vote Results]])</f>
        <v>643</v>
      </c>
      <c r="E6" s="13"/>
    </row>
    <row r="7" spans="1:5" x14ac:dyDescent="0.2">
      <c r="A7" s="2" t="s">
        <v>527</v>
      </c>
      <c r="B7" s="3">
        <v>338</v>
      </c>
      <c r="C7" s="3">
        <v>279</v>
      </c>
      <c r="D7" s="11">
        <f>SUM(MemberOfAssemblyAssemblyDistrict94General[[#This Row],[Part of Putnam County Vote Results]:[Part of Westchester County Vote Results]])</f>
        <v>617</v>
      </c>
      <c r="E7" s="13"/>
    </row>
    <row r="8" spans="1:5" x14ac:dyDescent="0.2">
      <c r="A8" s="2" t="s">
        <v>528</v>
      </c>
      <c r="B8" s="3">
        <v>164</v>
      </c>
      <c r="C8" s="3">
        <v>134</v>
      </c>
      <c r="D8" s="11">
        <f>SUM(MemberOfAssemblyAssemblyDistrict94General[[#This Row],[Part of Putnam County Vote Results]:[Part of Westchester County Vote Results]])</f>
        <v>298</v>
      </c>
      <c r="E8" s="13"/>
    </row>
    <row r="9" spans="1:5" x14ac:dyDescent="0.2">
      <c r="A9" s="2" t="s">
        <v>529</v>
      </c>
      <c r="B9" s="3">
        <v>134</v>
      </c>
      <c r="C9" s="3">
        <v>100</v>
      </c>
      <c r="D9" s="11">
        <f>SUM(MemberOfAssemblyAssemblyDistrict94General[[#This Row],[Part of Putnam County Vote Results]:[Part of Westchester County Vote Results]])</f>
        <v>234</v>
      </c>
      <c r="E9" s="13"/>
    </row>
    <row r="10" spans="1:5" x14ac:dyDescent="0.2">
      <c r="A10" s="4" t="s">
        <v>0</v>
      </c>
      <c r="B10" s="3">
        <v>1487</v>
      </c>
      <c r="C10" s="3">
        <v>887</v>
      </c>
      <c r="D10" s="11">
        <f>SUM(MemberOfAssemblyAssemblyDistrict94General[[#This Row],[Part of Putnam County Vote Results]:[Part of Westchester County Vote Results]])</f>
        <v>2374</v>
      </c>
      <c r="E10" s="13"/>
    </row>
    <row r="11" spans="1:5" x14ac:dyDescent="0.2">
      <c r="A11" s="4" t="s">
        <v>1</v>
      </c>
      <c r="B11" s="3">
        <v>0</v>
      </c>
      <c r="C11" s="3">
        <v>0</v>
      </c>
      <c r="D11" s="11">
        <f>SUM(MemberOfAssemblyAssemblyDistrict94General[[#This Row],[Part of Putnam County Vote Results]:[Part of Westchester County Vote Results]])</f>
        <v>0</v>
      </c>
      <c r="E11" s="13"/>
    </row>
    <row r="12" spans="1:5" x14ac:dyDescent="0.2">
      <c r="A12" s="4" t="s">
        <v>2</v>
      </c>
      <c r="B12" s="5">
        <v>5</v>
      </c>
      <c r="C12" s="5">
        <v>5</v>
      </c>
      <c r="D12" s="11">
        <f>SUM(MemberOfAssemblyAssemblyDistrict94General[[#This Row],[Part of Putnam County Vote Results]:[Part of Westchester County Vote Results]])</f>
        <v>10</v>
      </c>
      <c r="E12" s="13"/>
    </row>
    <row r="13" spans="1:5" hidden="1" x14ac:dyDescent="0.2">
      <c r="A13" s="4" t="s">
        <v>3</v>
      </c>
      <c r="B13" s="6">
        <f>SUBTOTAL(109,MemberOfAssemblyAssemblyDistrict94General[Part of Putnam County Vote Results])</f>
        <v>29292</v>
      </c>
      <c r="C13" s="6">
        <f>SUBTOTAL(109,MemberOfAssemblyAssemblyDistrict94General[Part of Westchester County Vote Results])</f>
        <v>25745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50B0-E477-4CE8-8D3E-E875CD499105}">
  <sheetPr>
    <pageSetUpPr fitToPage="1"/>
  </sheetPr>
  <dimension ref="A1:E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530</v>
      </c>
    </row>
    <row r="2" spans="1:5" ht="25.5" x14ac:dyDescent="0.2">
      <c r="A2" s="7" t="s">
        <v>5</v>
      </c>
      <c r="B2" s="8" t="s">
        <v>14</v>
      </c>
      <c r="C2" s="8" t="s">
        <v>13</v>
      </c>
      <c r="D2" s="9" t="s">
        <v>869</v>
      </c>
      <c r="E2" s="10" t="s">
        <v>4</v>
      </c>
    </row>
    <row r="3" spans="1:5" x14ac:dyDescent="0.2">
      <c r="A3" s="2" t="s">
        <v>531</v>
      </c>
      <c r="B3" s="3">
        <v>5400</v>
      </c>
      <c r="C3" s="3">
        <v>23899</v>
      </c>
      <c r="D3" s="11">
        <f>SUM(MemberOfAssemblyAssemblyDistrict95General[[#This Row],[Part of Putnam County Vote Results]:[Part of Westchester County Vote Results]])</f>
        <v>29299</v>
      </c>
      <c r="E3" s="12">
        <f>SUM(MemberOfAssemblyAssemblyDistrict95General[[#This Row],[Total Votes by Party]],D6:D8)</f>
        <v>31384</v>
      </c>
    </row>
    <row r="4" spans="1:5" x14ac:dyDescent="0.2">
      <c r="A4" s="2" t="s">
        <v>532</v>
      </c>
      <c r="B4" s="3">
        <v>3372</v>
      </c>
      <c r="C4" s="3">
        <v>9034</v>
      </c>
      <c r="D4" s="11">
        <f>SUM(MemberOfAssemblyAssemblyDistrict95General[[#This Row],[Part of Putnam County Vote Results]:[Part of Westchester County Vote Results]])</f>
        <v>12406</v>
      </c>
      <c r="E4" s="12">
        <f>SUM(D4:D5)</f>
        <v>14495</v>
      </c>
    </row>
    <row r="5" spans="1:5" x14ac:dyDescent="0.2">
      <c r="A5" s="2" t="s">
        <v>533</v>
      </c>
      <c r="B5" s="3">
        <v>665</v>
      </c>
      <c r="C5" s="3">
        <v>1424</v>
      </c>
      <c r="D5" s="11">
        <f>SUM(MemberOfAssemblyAssemblyDistrict95General[[#This Row],[Part of Putnam County Vote Results]:[Part of Westchester County Vote Results]])</f>
        <v>2089</v>
      </c>
      <c r="E5" s="13"/>
    </row>
    <row r="6" spans="1:5" x14ac:dyDescent="0.2">
      <c r="A6" s="2" t="s">
        <v>534</v>
      </c>
      <c r="B6" s="3">
        <v>292</v>
      </c>
      <c r="C6" s="3">
        <v>1106</v>
      </c>
      <c r="D6" s="11">
        <f>SUM(MemberOfAssemblyAssemblyDistrict95General[[#This Row],[Part of Putnam County Vote Results]:[Part of Westchester County Vote Results]])</f>
        <v>1398</v>
      </c>
      <c r="E6" s="13"/>
    </row>
    <row r="7" spans="1:5" x14ac:dyDescent="0.2">
      <c r="A7" s="2" t="s">
        <v>535</v>
      </c>
      <c r="B7" s="3">
        <v>113</v>
      </c>
      <c r="C7" s="3">
        <v>415</v>
      </c>
      <c r="D7" s="11">
        <f>SUM(MemberOfAssemblyAssemblyDistrict95General[[#This Row],[Part of Putnam County Vote Results]:[Part of Westchester County Vote Results]])</f>
        <v>528</v>
      </c>
      <c r="E7" s="13"/>
    </row>
    <row r="8" spans="1:5" x14ac:dyDescent="0.2">
      <c r="A8" s="2" t="s">
        <v>536</v>
      </c>
      <c r="B8" s="3">
        <v>39</v>
      </c>
      <c r="C8" s="3">
        <v>120</v>
      </c>
      <c r="D8" s="11">
        <f>SUM(MemberOfAssemblyAssemblyDistrict95General[[#This Row],[Part of Putnam County Vote Results]:[Part of Westchester County Vote Results]])</f>
        <v>159</v>
      </c>
      <c r="E8" s="13"/>
    </row>
    <row r="9" spans="1:5" x14ac:dyDescent="0.2">
      <c r="A9" s="4" t="s">
        <v>0</v>
      </c>
      <c r="B9" s="3">
        <v>608</v>
      </c>
      <c r="C9" s="3">
        <v>1464</v>
      </c>
      <c r="D9" s="11">
        <f>SUM(MemberOfAssemblyAssemblyDistrict95General[[#This Row],[Part of Putnam County Vote Results]:[Part of Westchester County Vote Results]])</f>
        <v>2072</v>
      </c>
      <c r="E9" s="13"/>
    </row>
    <row r="10" spans="1:5" x14ac:dyDescent="0.2">
      <c r="A10" s="4" t="s">
        <v>1</v>
      </c>
      <c r="B10" s="3">
        <v>0</v>
      </c>
      <c r="C10" s="3">
        <v>0</v>
      </c>
      <c r="D10" s="11">
        <f>SUM(MemberOfAssemblyAssemblyDistrict95General[[#This Row],[Part of Putnam County Vote Results]:[Part of Westchester County Vote Results]])</f>
        <v>0</v>
      </c>
      <c r="E10" s="13"/>
    </row>
    <row r="11" spans="1:5" x14ac:dyDescent="0.2">
      <c r="A11" s="4" t="s">
        <v>2</v>
      </c>
      <c r="B11" s="5">
        <v>3</v>
      </c>
      <c r="C11" s="5">
        <v>9</v>
      </c>
      <c r="D11" s="11">
        <f>SUM(MemberOfAssemblyAssemblyDistrict95General[[#This Row],[Part of Putnam County Vote Results]:[Part of Westchester County Vote Results]])</f>
        <v>12</v>
      </c>
      <c r="E11" s="13"/>
    </row>
    <row r="12" spans="1:5" hidden="1" x14ac:dyDescent="0.2">
      <c r="A12" s="4" t="s">
        <v>3</v>
      </c>
      <c r="B12" s="6">
        <f>SUBTOTAL(109,MemberOfAssemblyAssemblyDistrict95General[Part of Putnam County Vote Results])</f>
        <v>10492</v>
      </c>
      <c r="C12" s="6">
        <f>SUBTOTAL(109,MemberOfAssemblyAssemblyDistrict95General[Part of Westchester County Vote Results])</f>
        <v>37471</v>
      </c>
      <c r="D12" s="11">
        <f>SUM(MemberOfAssemblyAssemblyDistrict94General[[#This Row],[Part of Putnam County Vote Results]:[Part of Westchester County Vote Results]])</f>
        <v>10</v>
      </c>
      <c r="E12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0FED-36A3-4680-AE92-C7BF538C29F8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537</v>
      </c>
    </row>
    <row r="2" spans="1:4" ht="25.5" x14ac:dyDescent="0.2">
      <c r="A2" s="7" t="s">
        <v>5</v>
      </c>
      <c r="B2" s="8" t="s">
        <v>15</v>
      </c>
      <c r="C2" s="9" t="s">
        <v>869</v>
      </c>
      <c r="D2" s="10" t="s">
        <v>4</v>
      </c>
    </row>
    <row r="3" spans="1:4" x14ac:dyDescent="0.2">
      <c r="A3" s="2" t="s">
        <v>538</v>
      </c>
      <c r="B3" s="3">
        <v>30381</v>
      </c>
      <c r="C3" s="11">
        <f>MemberOfAssemblyAssemblyDistrict96General[[#This Row],[Part of Rockland County Vote Results]]</f>
        <v>30381</v>
      </c>
      <c r="D3" s="12">
        <f>SUM(C3:C6)</f>
        <v>35822</v>
      </c>
    </row>
    <row r="4" spans="1:4" x14ac:dyDescent="0.2">
      <c r="A4" s="2" t="s">
        <v>539</v>
      </c>
      <c r="B4" s="3">
        <v>2108</v>
      </c>
      <c r="C4" s="11">
        <f>MemberOfAssemblyAssemblyDistrict96General[[#This Row],[Part of Rockland County Vote Results]]</f>
        <v>2108</v>
      </c>
      <c r="D4" s="13"/>
    </row>
    <row r="5" spans="1:4" x14ac:dyDescent="0.2">
      <c r="A5" s="2" t="s">
        <v>540</v>
      </c>
      <c r="B5" s="3">
        <v>677</v>
      </c>
      <c r="C5" s="11">
        <f>MemberOfAssemblyAssemblyDistrict96General[[#This Row],[Part of Rockland County Vote Results]]</f>
        <v>677</v>
      </c>
      <c r="D5" s="13"/>
    </row>
    <row r="6" spans="1:4" x14ac:dyDescent="0.2">
      <c r="A6" s="2" t="s">
        <v>541</v>
      </c>
      <c r="B6" s="3">
        <v>2656</v>
      </c>
      <c r="C6" s="11">
        <f>MemberOfAssemblyAssemblyDistrict96General[[#This Row],[Part of Rockland County Vote Results]]</f>
        <v>2656</v>
      </c>
      <c r="D6" s="13"/>
    </row>
    <row r="7" spans="1:4" x14ac:dyDescent="0.2">
      <c r="A7" s="4" t="s">
        <v>0</v>
      </c>
      <c r="B7" s="5">
        <v>13162</v>
      </c>
      <c r="C7" s="11">
        <f>MemberOfAssemblyAssemblyDistrict96General[[#This Row],[Part of Rockland County Vote Results]]</f>
        <v>13162</v>
      </c>
      <c r="D7" s="13"/>
    </row>
    <row r="8" spans="1:4" x14ac:dyDescent="0.2">
      <c r="A8" s="4" t="s">
        <v>1</v>
      </c>
      <c r="B8" s="5">
        <v>2</v>
      </c>
      <c r="C8" s="11">
        <f>MemberOfAssemblyAssemblyDistrict96General[[#This Row],[Part of Rockland County Vote Results]]</f>
        <v>2</v>
      </c>
      <c r="D8" s="13"/>
    </row>
    <row r="9" spans="1:4" x14ac:dyDescent="0.2">
      <c r="A9" s="4" t="s">
        <v>2</v>
      </c>
      <c r="B9" s="5">
        <v>248</v>
      </c>
      <c r="C9" s="11">
        <f>MemberOfAssemblyAssemblyDistrict96General[[#This Row],[Part of Rockland County Vote Results]]</f>
        <v>248</v>
      </c>
      <c r="D9" s="13"/>
    </row>
    <row r="10" spans="1:4" hidden="1" x14ac:dyDescent="0.2">
      <c r="A10" s="4" t="s">
        <v>3</v>
      </c>
      <c r="B10" s="6">
        <f>SUBTOTAL(109,MemberOfAssemblyAssemblyDistrict96General[Total Votes by Candidate])</f>
        <v>35822</v>
      </c>
      <c r="C10" s="11">
        <f>SUM(MemberOfAssemblyAssemblyDistrict95General[[#This Row],[Part of Putnam County Vote Results]:[Part of Westchester County Vote Results]])</f>
        <v>0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B9D8-2980-435E-987D-E36114A88399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542</v>
      </c>
    </row>
    <row r="2" spans="1:4" ht="25.5" x14ac:dyDescent="0.2">
      <c r="A2" s="7" t="s">
        <v>5</v>
      </c>
      <c r="B2" s="8" t="s">
        <v>15</v>
      </c>
      <c r="C2" s="9" t="s">
        <v>869</v>
      </c>
      <c r="D2" s="10" t="s">
        <v>4</v>
      </c>
    </row>
    <row r="3" spans="1:4" x14ac:dyDescent="0.2">
      <c r="A3" s="2" t="s">
        <v>543</v>
      </c>
      <c r="B3" s="3">
        <v>22855</v>
      </c>
      <c r="C3" s="11">
        <f>MemberOfAssemblyAssemblyDistrict97General[[#This Row],[Part of Rockland County Vote Results]]</f>
        <v>22855</v>
      </c>
      <c r="D3" s="12">
        <f>SUM(MemberOfAssemblyAssemblyDistrict97General[[#This Row],[Total Votes by Party]],C6:C8)</f>
        <v>25100</v>
      </c>
    </row>
    <row r="4" spans="1:4" x14ac:dyDescent="0.2">
      <c r="A4" s="2" t="s">
        <v>544</v>
      </c>
      <c r="B4" s="3">
        <v>11169</v>
      </c>
      <c r="C4" s="11">
        <f>MemberOfAssemblyAssemblyDistrict97General[[#This Row],[Part of Rockland County Vote Results]]</f>
        <v>11169</v>
      </c>
      <c r="D4" s="12">
        <f>SUM(C4:C5)</f>
        <v>13123</v>
      </c>
    </row>
    <row r="5" spans="1:4" x14ac:dyDescent="0.2">
      <c r="A5" s="2" t="s">
        <v>545</v>
      </c>
      <c r="B5" s="3">
        <v>1954</v>
      </c>
      <c r="C5" s="11">
        <f>MemberOfAssemblyAssemblyDistrict97General[[#This Row],[Part of Rockland County Vote Results]]</f>
        <v>1954</v>
      </c>
      <c r="D5" s="13"/>
    </row>
    <row r="6" spans="1:4" x14ac:dyDescent="0.2">
      <c r="A6" s="2" t="s">
        <v>546</v>
      </c>
      <c r="B6" s="3">
        <v>742</v>
      </c>
      <c r="C6" s="11">
        <f>MemberOfAssemblyAssemblyDistrict97General[[#This Row],[Part of Rockland County Vote Results]]</f>
        <v>742</v>
      </c>
      <c r="D6" s="13"/>
    </row>
    <row r="7" spans="1:4" x14ac:dyDescent="0.2">
      <c r="A7" s="2" t="s">
        <v>547</v>
      </c>
      <c r="B7" s="3">
        <v>528</v>
      </c>
      <c r="C7" s="11">
        <f>MemberOfAssemblyAssemblyDistrict97General[[#This Row],[Part of Rockland County Vote Results]]</f>
        <v>528</v>
      </c>
      <c r="D7" s="13"/>
    </row>
    <row r="8" spans="1:4" x14ac:dyDescent="0.2">
      <c r="A8" s="2" t="s">
        <v>548</v>
      </c>
      <c r="B8" s="3">
        <v>975</v>
      </c>
      <c r="C8" s="11">
        <f>MemberOfAssemblyAssemblyDistrict97General[[#This Row],[Part of Rockland County Vote Results]]</f>
        <v>975</v>
      </c>
      <c r="D8" s="13"/>
    </row>
    <row r="9" spans="1:4" x14ac:dyDescent="0.2">
      <c r="A9" s="4" t="s">
        <v>0</v>
      </c>
      <c r="B9" s="5">
        <v>4125</v>
      </c>
      <c r="C9" s="11">
        <f>MemberOfAssemblyAssemblyDistrict97General[[#This Row],[Part of Rockland County Vote Results]]</f>
        <v>4125</v>
      </c>
      <c r="D9" s="13"/>
    </row>
    <row r="10" spans="1:4" x14ac:dyDescent="0.2">
      <c r="A10" s="4" t="s">
        <v>1</v>
      </c>
      <c r="B10" s="5">
        <v>37</v>
      </c>
      <c r="C10" s="11">
        <f>MemberOfAssemblyAssemblyDistrict97General[[#This Row],[Part of Rockland County Vote Results]]</f>
        <v>37</v>
      </c>
      <c r="D10" s="13"/>
    </row>
    <row r="11" spans="1:4" x14ac:dyDescent="0.2">
      <c r="A11" s="4" t="s">
        <v>2</v>
      </c>
      <c r="B11" s="5">
        <v>25</v>
      </c>
      <c r="C11" s="11">
        <f>MemberOfAssemblyAssemblyDistrict97General[[#This Row],[Part of Rockland County Vote Results]]</f>
        <v>25</v>
      </c>
      <c r="D11" s="13"/>
    </row>
    <row r="12" spans="1:4" hidden="1" x14ac:dyDescent="0.2">
      <c r="A12" s="4" t="s">
        <v>3</v>
      </c>
      <c r="B12" s="6">
        <f>SUBTOTAL(109,MemberOfAssemblyAssemblyDistrict97General[Total Votes by Candidate])</f>
        <v>38223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62A1-81A0-4AD2-A198-802D11EDF641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549</v>
      </c>
    </row>
    <row r="2" spans="1:5" ht="25.5" x14ac:dyDescent="0.2">
      <c r="A2" s="7" t="s">
        <v>5</v>
      </c>
      <c r="B2" s="8" t="s">
        <v>16</v>
      </c>
      <c r="C2" s="8" t="s">
        <v>15</v>
      </c>
      <c r="D2" s="9" t="s">
        <v>869</v>
      </c>
      <c r="E2" s="10" t="s">
        <v>4</v>
      </c>
    </row>
    <row r="3" spans="1:5" x14ac:dyDescent="0.2">
      <c r="A3" s="2" t="s">
        <v>550</v>
      </c>
      <c r="B3" s="3">
        <v>12392</v>
      </c>
      <c r="C3" s="3">
        <v>1547</v>
      </c>
      <c r="D3" s="11">
        <f>SUM(MemberOfAssemblyAssemblyDistrict98General[[#This Row],[Part of Orange County Vote Results]:[Part of Rockland County Vote Results]])</f>
        <v>13939</v>
      </c>
      <c r="E3" s="12">
        <f>SUM(MemberOfAssemblyAssemblyDistrict98General[[#This Row],[Total Votes by Party]],D6,D8)</f>
        <v>14834</v>
      </c>
    </row>
    <row r="4" spans="1:5" x14ac:dyDescent="0.2">
      <c r="A4" s="2" t="s">
        <v>551</v>
      </c>
      <c r="B4" s="3">
        <v>14784</v>
      </c>
      <c r="C4" s="3">
        <v>3415</v>
      </c>
      <c r="D4" s="11">
        <f>SUM(MemberOfAssemblyAssemblyDistrict98General[[#This Row],[Part of Orange County Vote Results]:[Part of Rockland County Vote Results]])</f>
        <v>18199</v>
      </c>
      <c r="E4" s="12">
        <f>SUM(D4:D5,D7,D9)</f>
        <v>24985</v>
      </c>
    </row>
    <row r="5" spans="1:5" x14ac:dyDescent="0.2">
      <c r="A5" s="2" t="s">
        <v>552</v>
      </c>
      <c r="B5" s="3">
        <v>1970</v>
      </c>
      <c r="C5" s="3">
        <v>424</v>
      </c>
      <c r="D5" s="11">
        <f>SUM(MemberOfAssemblyAssemblyDistrict98General[[#This Row],[Part of Orange County Vote Results]:[Part of Rockland County Vote Results]])</f>
        <v>2394</v>
      </c>
      <c r="E5" s="13"/>
    </row>
    <row r="6" spans="1:5" x14ac:dyDescent="0.2">
      <c r="A6" s="2" t="s">
        <v>553</v>
      </c>
      <c r="B6" s="3">
        <v>512</v>
      </c>
      <c r="C6" s="3">
        <v>69</v>
      </c>
      <c r="D6" s="11">
        <f>SUM(MemberOfAssemblyAssemblyDistrict98General[[#This Row],[Part of Orange County Vote Results]:[Part of Rockland County Vote Results]])</f>
        <v>581</v>
      </c>
      <c r="E6" s="13"/>
    </row>
    <row r="7" spans="1:5" x14ac:dyDescent="0.2">
      <c r="A7" s="2" t="s">
        <v>554</v>
      </c>
      <c r="B7" s="3">
        <v>4203</v>
      </c>
      <c r="C7" s="3">
        <v>37</v>
      </c>
      <c r="D7" s="11">
        <f>SUM(MemberOfAssemblyAssemblyDistrict98General[[#This Row],[Part of Orange County Vote Results]:[Part of Rockland County Vote Results]])</f>
        <v>4240</v>
      </c>
      <c r="E7" s="13"/>
    </row>
    <row r="8" spans="1:5" x14ac:dyDescent="0.2">
      <c r="A8" s="2" t="s">
        <v>555</v>
      </c>
      <c r="B8" s="3">
        <v>264</v>
      </c>
      <c r="C8" s="3">
        <v>50</v>
      </c>
      <c r="D8" s="11">
        <f>SUM(MemberOfAssemblyAssemblyDistrict98General[[#This Row],[Part of Orange County Vote Results]:[Part of Rockland County Vote Results]])</f>
        <v>314</v>
      </c>
      <c r="E8" s="13"/>
    </row>
    <row r="9" spans="1:5" x14ac:dyDescent="0.2">
      <c r="A9" s="2" t="s">
        <v>556</v>
      </c>
      <c r="B9" s="3">
        <v>111</v>
      </c>
      <c r="C9" s="3">
        <v>41</v>
      </c>
      <c r="D9" s="11">
        <f>SUM(MemberOfAssemblyAssemblyDistrict98General[[#This Row],[Part of Orange County Vote Results]:[Part of Rockland County Vote Results]])</f>
        <v>152</v>
      </c>
      <c r="E9" s="13"/>
    </row>
    <row r="10" spans="1:5" x14ac:dyDescent="0.2">
      <c r="A10" s="4" t="s">
        <v>0</v>
      </c>
      <c r="B10" s="3">
        <v>1656</v>
      </c>
      <c r="C10" s="3">
        <v>546</v>
      </c>
      <c r="D10" s="11">
        <f>SUM(MemberOfAssemblyAssemblyDistrict98General[[#This Row],[Part of Orange County Vote Results]:[Part of Rockland County Vote Results]])</f>
        <v>2202</v>
      </c>
      <c r="E10" s="13"/>
    </row>
    <row r="11" spans="1:5" x14ac:dyDescent="0.2">
      <c r="A11" s="4" t="s">
        <v>1</v>
      </c>
      <c r="B11" s="3">
        <v>0</v>
      </c>
      <c r="C11" s="3">
        <v>8</v>
      </c>
      <c r="D11" s="11">
        <f>SUM(MemberOfAssemblyAssemblyDistrict98General[[#This Row],[Part of Orange County Vote Results]:[Part of Rockland County Vote Results]])</f>
        <v>8</v>
      </c>
      <c r="E11" s="13"/>
    </row>
    <row r="12" spans="1:5" x14ac:dyDescent="0.2">
      <c r="A12" s="4" t="s">
        <v>2</v>
      </c>
      <c r="B12" s="5">
        <v>16</v>
      </c>
      <c r="C12" s="5">
        <v>9</v>
      </c>
      <c r="D12" s="11">
        <f>SUM(MemberOfAssemblyAssemblyDistrict98General[[#This Row],[Part of Orange County Vote Results]:[Part of Rockland County Vote Results]])</f>
        <v>25</v>
      </c>
      <c r="E12" s="13"/>
    </row>
    <row r="13" spans="1:5" hidden="1" x14ac:dyDescent="0.2">
      <c r="A13" s="4" t="s">
        <v>3</v>
      </c>
      <c r="B13" s="6">
        <f>SUBTOTAL(109,MemberOfAssemblyAssemblyDistrict98General[Part of Orange County Vote Results])</f>
        <v>35908</v>
      </c>
      <c r="C13" s="6">
        <f>SUBTOTAL(109,MemberOfAssemblyAssemblyDistrict98General[Part of Rockland County Vote Results])</f>
        <v>6146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3C68-2958-4DC3-A6AB-775DA8C96B9C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557</v>
      </c>
    </row>
    <row r="2" spans="1:5" ht="25.5" x14ac:dyDescent="0.2">
      <c r="A2" s="7" t="s">
        <v>5</v>
      </c>
      <c r="B2" s="8" t="s">
        <v>16</v>
      </c>
      <c r="C2" s="8" t="s">
        <v>15</v>
      </c>
      <c r="D2" s="9" t="s">
        <v>869</v>
      </c>
      <c r="E2" s="10" t="s">
        <v>4</v>
      </c>
    </row>
    <row r="3" spans="1:5" x14ac:dyDescent="0.2">
      <c r="A3" s="2" t="s">
        <v>558</v>
      </c>
      <c r="B3" s="3">
        <v>18922</v>
      </c>
      <c r="C3" s="3">
        <v>2238</v>
      </c>
      <c r="D3" s="11">
        <f>SUM(MemberOfAssemblyAssemblyDistrict99General[[#This Row],[Part of Orange County Vote Results]:[Part of Rockland County Vote Results]])</f>
        <v>21160</v>
      </c>
      <c r="E3" s="12">
        <f>SUM(MemberOfAssemblyAssemblyDistrict99General[[#This Row],[Total Votes by Party]],D6,D8)</f>
        <v>22298</v>
      </c>
    </row>
    <row r="4" spans="1:5" x14ac:dyDescent="0.2">
      <c r="A4" s="2" t="s">
        <v>559</v>
      </c>
      <c r="B4" s="3">
        <v>18007</v>
      </c>
      <c r="C4" s="3">
        <v>2850</v>
      </c>
      <c r="D4" s="11">
        <f>SUM(MemberOfAssemblyAssemblyDistrict99General[[#This Row],[Part of Orange County Vote Results]:[Part of Rockland County Vote Results]])</f>
        <v>20857</v>
      </c>
      <c r="E4" s="12">
        <f>SUM(D4:D5,D7,D9)</f>
        <v>25016</v>
      </c>
    </row>
    <row r="5" spans="1:5" x14ac:dyDescent="0.2">
      <c r="A5" s="2" t="s">
        <v>560</v>
      </c>
      <c r="B5" s="3">
        <v>2553</v>
      </c>
      <c r="C5" s="3">
        <v>535</v>
      </c>
      <c r="D5" s="11">
        <f>SUM(MemberOfAssemblyAssemblyDistrict99General[[#This Row],[Part of Orange County Vote Results]:[Part of Rockland County Vote Results]])</f>
        <v>3088</v>
      </c>
      <c r="E5" s="13"/>
    </row>
    <row r="6" spans="1:5" x14ac:dyDescent="0.2">
      <c r="A6" s="2" t="s">
        <v>561</v>
      </c>
      <c r="B6" s="3">
        <v>678</v>
      </c>
      <c r="C6" s="3">
        <v>80</v>
      </c>
      <c r="D6" s="11">
        <f>SUM(MemberOfAssemblyAssemblyDistrict99General[[#This Row],[Part of Orange County Vote Results]:[Part of Rockland County Vote Results]])</f>
        <v>758</v>
      </c>
      <c r="E6" s="13"/>
    </row>
    <row r="7" spans="1:5" x14ac:dyDescent="0.2">
      <c r="A7" s="2" t="s">
        <v>562</v>
      </c>
      <c r="B7" s="3">
        <v>559</v>
      </c>
      <c r="C7" s="3">
        <v>76</v>
      </c>
      <c r="D7" s="11">
        <f>SUM(MemberOfAssemblyAssemblyDistrict99General[[#This Row],[Part of Orange County Vote Results]:[Part of Rockland County Vote Results]])</f>
        <v>635</v>
      </c>
      <c r="E7" s="13"/>
    </row>
    <row r="8" spans="1:5" x14ac:dyDescent="0.2">
      <c r="A8" s="2" t="s">
        <v>563</v>
      </c>
      <c r="B8" s="3">
        <v>328</v>
      </c>
      <c r="C8" s="3">
        <v>52</v>
      </c>
      <c r="D8" s="11">
        <f>SUM(MemberOfAssemblyAssemblyDistrict99General[[#This Row],[Part of Orange County Vote Results]:[Part of Rockland County Vote Results]])</f>
        <v>380</v>
      </c>
      <c r="E8" s="13"/>
    </row>
    <row r="9" spans="1:5" x14ac:dyDescent="0.2">
      <c r="A9" s="2" t="s">
        <v>564</v>
      </c>
      <c r="B9" s="3">
        <v>371</v>
      </c>
      <c r="C9" s="3">
        <v>65</v>
      </c>
      <c r="D9" s="11">
        <f>SUM(MemberOfAssemblyAssemblyDistrict99General[[#This Row],[Part of Orange County Vote Results]:[Part of Rockland County Vote Results]])</f>
        <v>436</v>
      </c>
      <c r="E9" s="13"/>
    </row>
    <row r="10" spans="1:5" x14ac:dyDescent="0.2">
      <c r="A10" s="4" t="s">
        <v>0</v>
      </c>
      <c r="B10" s="3">
        <v>2319</v>
      </c>
      <c r="C10" s="3">
        <v>362</v>
      </c>
      <c r="D10" s="11">
        <f>SUM(MemberOfAssemblyAssemblyDistrict99General[[#This Row],[Part of Orange County Vote Results]:[Part of Rockland County Vote Results]])</f>
        <v>2681</v>
      </c>
      <c r="E10" s="13"/>
    </row>
    <row r="11" spans="1:5" x14ac:dyDescent="0.2">
      <c r="A11" s="4" t="s">
        <v>1</v>
      </c>
      <c r="B11" s="3">
        <v>0</v>
      </c>
      <c r="C11" s="3">
        <v>3</v>
      </c>
      <c r="D11" s="11">
        <f>SUM(MemberOfAssemblyAssemblyDistrict99General[[#This Row],[Part of Orange County Vote Results]:[Part of Rockland County Vote Results]])</f>
        <v>3</v>
      </c>
      <c r="E11" s="13"/>
    </row>
    <row r="12" spans="1:5" x14ac:dyDescent="0.2">
      <c r="A12" s="4" t="s">
        <v>2</v>
      </c>
      <c r="B12" s="5">
        <v>11</v>
      </c>
      <c r="C12" s="5">
        <v>2</v>
      </c>
      <c r="D12" s="11">
        <f>SUM(MemberOfAssemblyAssemblyDistrict99General[[#This Row],[Part of Orange County Vote Results]:[Part of Rockland County Vote Results]])</f>
        <v>13</v>
      </c>
      <c r="E12" s="13"/>
    </row>
    <row r="13" spans="1:5" hidden="1" x14ac:dyDescent="0.2">
      <c r="A13" s="4" t="s">
        <v>3</v>
      </c>
      <c r="B13" s="6">
        <f>SUBTOTAL(109,MemberOfAssemblyAssemblyDistrict99General[Part of Orange County Vote Results])</f>
        <v>43748</v>
      </c>
      <c r="C13" s="6">
        <f>SUBTOTAL(109,MemberOfAssemblyAssemblyDistrict99General[Part of Rockland County Vote Results])</f>
        <v>6263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150</vt:i4>
      </vt:variant>
      <vt:variant>
        <vt:lpstr>Named Ranges</vt:lpstr>
      </vt:variant>
      <vt:variant>
        <vt:i4>1</vt:i4>
      </vt:variant>
    </vt:vector>
  </HeadingPairs>
  <TitlesOfParts>
    <vt:vector size="151" baseType="lpstr">
      <vt:lpstr>1st AD</vt:lpstr>
      <vt:lpstr>2nd AD</vt:lpstr>
      <vt:lpstr>3rd AD</vt:lpstr>
      <vt:lpstr>4th AD</vt:lpstr>
      <vt:lpstr>5th AD</vt:lpstr>
      <vt:lpstr>6th AD</vt:lpstr>
      <vt:lpstr>7th AD</vt:lpstr>
      <vt:lpstr>8th AD</vt:lpstr>
      <vt:lpstr>9th AD</vt:lpstr>
      <vt:lpstr>10th AD</vt:lpstr>
      <vt:lpstr>11th AD</vt:lpstr>
      <vt:lpstr>12th AD</vt:lpstr>
      <vt:lpstr>13th AD</vt:lpstr>
      <vt:lpstr>14th AD</vt:lpstr>
      <vt:lpstr>15th AD</vt:lpstr>
      <vt:lpstr>16th AD</vt:lpstr>
      <vt:lpstr>17th AD</vt:lpstr>
      <vt:lpstr>18th AD</vt:lpstr>
      <vt:lpstr>19th AD</vt:lpstr>
      <vt:lpstr>20th AD</vt:lpstr>
      <vt:lpstr>21st AD</vt:lpstr>
      <vt:lpstr>22nd AD</vt:lpstr>
      <vt:lpstr>23rd AD</vt:lpstr>
      <vt:lpstr>24th AD</vt:lpstr>
      <vt:lpstr>25th AD</vt:lpstr>
      <vt:lpstr>26th AD</vt:lpstr>
      <vt:lpstr>27th AD</vt:lpstr>
      <vt:lpstr>28th AD</vt:lpstr>
      <vt:lpstr>29th AD</vt:lpstr>
      <vt:lpstr>30th AD</vt:lpstr>
      <vt:lpstr>31st AD</vt:lpstr>
      <vt:lpstr>32nd AD</vt:lpstr>
      <vt:lpstr>33rd AD</vt:lpstr>
      <vt:lpstr>34th AD</vt:lpstr>
      <vt:lpstr>35th AD</vt:lpstr>
      <vt:lpstr>36th AD</vt:lpstr>
      <vt:lpstr>37th AD</vt:lpstr>
      <vt:lpstr>38th AD</vt:lpstr>
      <vt:lpstr>39th AD</vt:lpstr>
      <vt:lpstr>40th AD</vt:lpstr>
      <vt:lpstr>41st AD</vt:lpstr>
      <vt:lpstr>42nd AD</vt:lpstr>
      <vt:lpstr>43rd AD</vt:lpstr>
      <vt:lpstr>44th AD</vt:lpstr>
      <vt:lpstr>45th AD</vt:lpstr>
      <vt:lpstr>46th AD</vt:lpstr>
      <vt:lpstr>47th AD</vt:lpstr>
      <vt:lpstr>48th AD</vt:lpstr>
      <vt:lpstr>49th AD</vt:lpstr>
      <vt:lpstr>50th AD</vt:lpstr>
      <vt:lpstr>51st AD</vt:lpstr>
      <vt:lpstr>52nd AD</vt:lpstr>
      <vt:lpstr>53rd AD</vt:lpstr>
      <vt:lpstr>54th AD</vt:lpstr>
      <vt:lpstr>55th AD</vt:lpstr>
      <vt:lpstr>56th AD</vt:lpstr>
      <vt:lpstr>57th AD</vt:lpstr>
      <vt:lpstr>58th AD</vt:lpstr>
      <vt:lpstr>59th AD</vt:lpstr>
      <vt:lpstr>60th AD</vt:lpstr>
      <vt:lpstr>61st AD</vt:lpstr>
      <vt:lpstr>62nd AD</vt:lpstr>
      <vt:lpstr>63rd AD</vt:lpstr>
      <vt:lpstr>64th AD</vt:lpstr>
      <vt:lpstr>65th AD</vt:lpstr>
      <vt:lpstr>66th AD</vt:lpstr>
      <vt:lpstr>67th AD</vt:lpstr>
      <vt:lpstr>68th AD</vt:lpstr>
      <vt:lpstr>69th AD</vt:lpstr>
      <vt:lpstr>70th AD</vt:lpstr>
      <vt:lpstr>71st AD</vt:lpstr>
      <vt:lpstr>72nd AD</vt:lpstr>
      <vt:lpstr>73rd AD</vt:lpstr>
      <vt:lpstr>74th AD</vt:lpstr>
      <vt:lpstr>75th AD</vt:lpstr>
      <vt:lpstr>76th AD</vt:lpstr>
      <vt:lpstr>77th AD</vt:lpstr>
      <vt:lpstr>78th AD</vt:lpstr>
      <vt:lpstr>79th AD</vt:lpstr>
      <vt:lpstr>80th AD</vt:lpstr>
      <vt:lpstr>81st AD</vt:lpstr>
      <vt:lpstr>82nd AD</vt:lpstr>
      <vt:lpstr>83rd AD</vt:lpstr>
      <vt:lpstr>84th AD</vt:lpstr>
      <vt:lpstr>85th AD</vt:lpstr>
      <vt:lpstr>86th AD</vt:lpstr>
      <vt:lpstr>87th AD</vt:lpstr>
      <vt:lpstr>88th AD</vt:lpstr>
      <vt:lpstr>89th AD</vt:lpstr>
      <vt:lpstr>90th AD</vt:lpstr>
      <vt:lpstr>91st AD</vt:lpstr>
      <vt:lpstr>92nd AD</vt:lpstr>
      <vt:lpstr>93rd AD</vt:lpstr>
      <vt:lpstr>94th AD</vt:lpstr>
      <vt:lpstr>95th AD</vt:lpstr>
      <vt:lpstr>96th AD</vt:lpstr>
      <vt:lpstr>97th AD</vt:lpstr>
      <vt:lpstr>98th AD</vt:lpstr>
      <vt:lpstr>99th AD</vt:lpstr>
      <vt:lpstr>100th AD</vt:lpstr>
      <vt:lpstr>101st AD</vt:lpstr>
      <vt:lpstr>102nd AD</vt:lpstr>
      <vt:lpstr>103rd AD</vt:lpstr>
      <vt:lpstr>104th AD</vt:lpstr>
      <vt:lpstr>105th AD</vt:lpstr>
      <vt:lpstr>106th AD</vt:lpstr>
      <vt:lpstr>107th AD</vt:lpstr>
      <vt:lpstr>108th AD</vt:lpstr>
      <vt:lpstr>109th AD</vt:lpstr>
      <vt:lpstr>110th AD</vt:lpstr>
      <vt:lpstr>111th AD</vt:lpstr>
      <vt:lpstr>112th AD</vt:lpstr>
      <vt:lpstr>113th AD</vt:lpstr>
      <vt:lpstr>114th AD</vt:lpstr>
      <vt:lpstr>115th AD</vt:lpstr>
      <vt:lpstr>116th AD</vt:lpstr>
      <vt:lpstr>117th AD</vt:lpstr>
      <vt:lpstr>118th AD</vt:lpstr>
      <vt:lpstr>119th AD</vt:lpstr>
      <vt:lpstr>120th AD</vt:lpstr>
      <vt:lpstr>121st AD</vt:lpstr>
      <vt:lpstr>122nd AD</vt:lpstr>
      <vt:lpstr>123rd AD</vt:lpstr>
      <vt:lpstr>124th AD</vt:lpstr>
      <vt:lpstr>125th AD</vt:lpstr>
      <vt:lpstr>126th AD</vt:lpstr>
      <vt:lpstr>127th AD</vt:lpstr>
      <vt:lpstr>128th AD</vt:lpstr>
      <vt:lpstr>129th AD</vt:lpstr>
      <vt:lpstr>130th AD</vt:lpstr>
      <vt:lpstr>131st AD</vt:lpstr>
      <vt:lpstr>132nd AD</vt:lpstr>
      <vt:lpstr>133rd AD</vt:lpstr>
      <vt:lpstr>134th AD</vt:lpstr>
      <vt:lpstr>135th AD</vt:lpstr>
      <vt:lpstr>136th AD</vt:lpstr>
      <vt:lpstr>137th AD</vt:lpstr>
      <vt:lpstr>138th AD</vt:lpstr>
      <vt:lpstr>139th AD</vt:lpstr>
      <vt:lpstr>140th AD</vt:lpstr>
      <vt:lpstr>141st AD</vt:lpstr>
      <vt:lpstr>142nd AD</vt:lpstr>
      <vt:lpstr>143rd AD</vt:lpstr>
      <vt:lpstr>144th AD</vt:lpstr>
      <vt:lpstr>145th AD</vt:lpstr>
      <vt:lpstr>146th AD</vt:lpstr>
      <vt:lpstr>147th AD</vt:lpstr>
      <vt:lpstr>148th AD</vt:lpstr>
      <vt:lpstr>149th AD</vt:lpstr>
      <vt:lpstr>150th AD</vt:lpstr>
      <vt:lpstr>'1st AD'!Print_Area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2018-12-13T16:15:41Z</cp:lastPrinted>
  <dcterms:created xsi:type="dcterms:W3CDTF">2008-10-28T18:22:21Z</dcterms:created>
  <dcterms:modified xsi:type="dcterms:W3CDTF">2018-12-14T14:28:40Z</dcterms:modified>
</cp:coreProperties>
</file>