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xl/tables/table65.xml" ContentType="application/vnd.openxmlformats-officedocument.spreadsheetml.table+xml"/>
  <Override PartName="/xl/tables/table66.xml" ContentType="application/vnd.openxmlformats-officedocument.spreadsheetml.table+xml"/>
  <Override PartName="/xl/tables/table67.xml" ContentType="application/vnd.openxmlformats-officedocument.spreadsheetml.table+xml"/>
  <Override PartName="/xl/tables/table68.xml" ContentType="application/vnd.openxmlformats-officedocument.spreadsheetml.table+xml"/>
  <Override PartName="/xl/tables/table69.xml" ContentType="application/vnd.openxmlformats-officedocument.spreadsheetml.table+xml"/>
  <Override PartName="/xl/tables/table70.xml" ContentType="application/vnd.openxmlformats-officedocument.spreadsheetml.table+xml"/>
  <Override PartName="/xl/tables/table71.xml" ContentType="application/vnd.openxmlformats-officedocument.spreadsheetml.table+xml"/>
  <Override PartName="/xl/tables/table72.xml" ContentType="application/vnd.openxmlformats-officedocument.spreadsheetml.table+xml"/>
  <Override PartName="/xl/tables/table73.xml" ContentType="application/vnd.openxmlformats-officedocument.spreadsheetml.table+xml"/>
  <Override PartName="/xl/tables/table74.xml" ContentType="application/vnd.openxmlformats-officedocument.spreadsheetml.table+xml"/>
  <Override PartName="/xl/tables/table75.xml" ContentType="application/vnd.openxmlformats-officedocument.spreadsheetml.table+xml"/>
  <Override PartName="/xl/tables/table76.xml" ContentType="application/vnd.openxmlformats-officedocument.spreadsheetml.table+xml"/>
  <Override PartName="/xl/tables/table77.xml" ContentType="application/vnd.openxmlformats-officedocument.spreadsheetml.table+xml"/>
  <Override PartName="/xl/tables/table78.xml" ContentType="application/vnd.openxmlformats-officedocument.spreadsheetml.table+xml"/>
  <Override PartName="/xl/tables/table79.xml" ContentType="application/vnd.openxmlformats-officedocument.spreadsheetml.table+xml"/>
  <Override PartName="/xl/tables/table80.xml" ContentType="application/vnd.openxmlformats-officedocument.spreadsheetml.table+xml"/>
  <Override PartName="/xl/tables/table81.xml" ContentType="application/vnd.openxmlformats-officedocument.spreadsheetml.table+xml"/>
  <Override PartName="/xl/tables/table82.xml" ContentType="application/vnd.openxmlformats-officedocument.spreadsheetml.table+xml"/>
  <Override PartName="/xl/tables/table83.xml" ContentType="application/vnd.openxmlformats-officedocument.spreadsheetml.table+xml"/>
  <Override PartName="/xl/tables/table84.xml" ContentType="application/vnd.openxmlformats-officedocument.spreadsheetml.table+xml"/>
  <Override PartName="/xl/tables/table85.xml" ContentType="application/vnd.openxmlformats-officedocument.spreadsheetml.table+xml"/>
  <Override PartName="/xl/tables/table86.xml" ContentType="application/vnd.openxmlformats-officedocument.spreadsheetml.table+xml"/>
  <Override PartName="/xl/tables/table87.xml" ContentType="application/vnd.openxmlformats-officedocument.spreadsheetml.table+xml"/>
  <Override PartName="/xl/tables/table88.xml" ContentType="application/vnd.openxmlformats-officedocument.spreadsheetml.table+xml"/>
  <Override PartName="/xl/tables/table89.xml" ContentType="application/vnd.openxmlformats-officedocument.spreadsheetml.table+xml"/>
  <Override PartName="/xl/tables/table90.xml" ContentType="application/vnd.openxmlformats-officedocument.spreadsheetml.table+xml"/>
  <Override PartName="/xl/tables/table91.xml" ContentType="application/vnd.openxmlformats-officedocument.spreadsheetml.table+xml"/>
  <Override PartName="/xl/tables/table92.xml" ContentType="application/vnd.openxmlformats-officedocument.spreadsheetml.table+xml"/>
  <Override PartName="/xl/tables/table93.xml" ContentType="application/vnd.openxmlformats-officedocument.spreadsheetml.table+xml"/>
  <Override PartName="/xl/tables/table94.xml" ContentType="application/vnd.openxmlformats-officedocument.spreadsheetml.table+xml"/>
  <Override PartName="/xl/tables/table95.xml" ContentType="application/vnd.openxmlformats-officedocument.spreadsheetml.table+xml"/>
  <Override PartName="/xl/tables/table96.xml" ContentType="application/vnd.openxmlformats-officedocument.spreadsheetml.table+xml"/>
  <Override PartName="/xl/tables/table97.xml" ContentType="application/vnd.openxmlformats-officedocument.spreadsheetml.table+xml"/>
  <Override PartName="/xl/tables/table98.xml" ContentType="application/vnd.openxmlformats-officedocument.spreadsheetml.table+xml"/>
  <Override PartName="/xl/tables/table99.xml" ContentType="application/vnd.openxmlformats-officedocument.spreadsheetml.table+xml"/>
  <Override PartName="/xl/tables/table100.xml" ContentType="application/vnd.openxmlformats-officedocument.spreadsheetml.table+xml"/>
  <Override PartName="/xl/tables/table101.xml" ContentType="application/vnd.openxmlformats-officedocument.spreadsheetml.table+xml"/>
  <Override PartName="/xl/tables/table102.xml" ContentType="application/vnd.openxmlformats-officedocument.spreadsheetml.table+xml"/>
  <Override PartName="/xl/tables/table103.xml" ContentType="application/vnd.openxmlformats-officedocument.spreadsheetml.table+xml"/>
  <Override PartName="/xl/tables/table104.xml" ContentType="application/vnd.openxmlformats-officedocument.spreadsheetml.table+xml"/>
  <Override PartName="/xl/tables/table105.xml" ContentType="application/vnd.openxmlformats-officedocument.spreadsheetml.table+xml"/>
  <Override PartName="/xl/tables/table106.xml" ContentType="application/vnd.openxmlformats-officedocument.spreadsheetml.table+xml"/>
  <Override PartName="/xl/tables/table107.xml" ContentType="application/vnd.openxmlformats-officedocument.spreadsheetml.table+xml"/>
  <Override PartName="/xl/tables/table108.xml" ContentType="application/vnd.openxmlformats-officedocument.spreadsheetml.table+xml"/>
  <Override PartName="/xl/tables/table109.xml" ContentType="application/vnd.openxmlformats-officedocument.spreadsheetml.table+xml"/>
  <Override PartName="/xl/tables/table110.xml" ContentType="application/vnd.openxmlformats-officedocument.spreadsheetml.table+xml"/>
  <Override PartName="/xl/tables/table111.xml" ContentType="application/vnd.openxmlformats-officedocument.spreadsheetml.table+xml"/>
  <Override PartName="/xl/tables/table112.xml" ContentType="application/vnd.openxmlformats-officedocument.spreadsheetml.table+xml"/>
  <Override PartName="/xl/tables/table113.xml" ContentType="application/vnd.openxmlformats-officedocument.spreadsheetml.table+xml"/>
  <Override PartName="/xl/tables/table114.xml" ContentType="application/vnd.openxmlformats-officedocument.spreadsheetml.table+xml"/>
  <Override PartName="/xl/tables/table115.xml" ContentType="application/vnd.openxmlformats-officedocument.spreadsheetml.table+xml"/>
  <Override PartName="/xl/tables/table116.xml" ContentType="application/vnd.openxmlformats-officedocument.spreadsheetml.table+xml"/>
  <Override PartName="/xl/tables/table117.xml" ContentType="application/vnd.openxmlformats-officedocument.spreadsheetml.table+xml"/>
  <Override PartName="/xl/tables/table118.xml" ContentType="application/vnd.openxmlformats-officedocument.spreadsheetml.table+xml"/>
  <Override PartName="/xl/tables/table119.xml" ContentType="application/vnd.openxmlformats-officedocument.spreadsheetml.table+xml"/>
  <Override PartName="/xl/tables/table120.xml" ContentType="application/vnd.openxmlformats-officedocument.spreadsheetml.table+xml"/>
  <Override PartName="/xl/tables/table121.xml" ContentType="application/vnd.openxmlformats-officedocument.spreadsheetml.table+xml"/>
  <Override PartName="/xl/tables/table122.xml" ContentType="application/vnd.openxmlformats-officedocument.spreadsheetml.table+xml"/>
  <Override PartName="/xl/tables/table123.xml" ContentType="application/vnd.openxmlformats-officedocument.spreadsheetml.table+xml"/>
  <Override PartName="/xl/tables/table124.xml" ContentType="application/vnd.openxmlformats-officedocument.spreadsheetml.table+xml"/>
  <Override PartName="/xl/tables/table125.xml" ContentType="application/vnd.openxmlformats-officedocument.spreadsheetml.table+xml"/>
  <Override PartName="/xl/tables/table126.xml" ContentType="application/vnd.openxmlformats-officedocument.spreadsheetml.table+xml"/>
  <Override PartName="/xl/tables/table127.xml" ContentType="application/vnd.openxmlformats-officedocument.spreadsheetml.table+xml"/>
  <Override PartName="/xl/tables/table128.xml" ContentType="application/vnd.openxmlformats-officedocument.spreadsheetml.table+xml"/>
  <Override PartName="/xl/tables/table129.xml" ContentType="application/vnd.openxmlformats-officedocument.spreadsheetml.table+xml"/>
  <Override PartName="/xl/tables/table130.xml" ContentType="application/vnd.openxmlformats-officedocument.spreadsheetml.table+xml"/>
  <Override PartName="/xl/tables/table131.xml" ContentType="application/vnd.openxmlformats-officedocument.spreadsheetml.table+xml"/>
  <Override PartName="/xl/tables/table132.xml" ContentType="application/vnd.openxmlformats-officedocument.spreadsheetml.table+xml"/>
  <Override PartName="/xl/tables/table133.xml" ContentType="application/vnd.openxmlformats-officedocument.spreadsheetml.table+xml"/>
  <Override PartName="/xl/tables/table134.xml" ContentType="application/vnd.openxmlformats-officedocument.spreadsheetml.table+xml"/>
  <Override PartName="/xl/tables/table135.xml" ContentType="application/vnd.openxmlformats-officedocument.spreadsheetml.table+xml"/>
  <Override PartName="/xl/tables/table136.xml" ContentType="application/vnd.openxmlformats-officedocument.spreadsheetml.table+xml"/>
  <Override PartName="/xl/tables/table137.xml" ContentType="application/vnd.openxmlformats-officedocument.spreadsheetml.table+xml"/>
  <Override PartName="/xl/tables/table138.xml" ContentType="application/vnd.openxmlformats-officedocument.spreadsheetml.table+xml"/>
  <Override PartName="/xl/tables/table139.xml" ContentType="application/vnd.openxmlformats-officedocument.spreadsheetml.table+xml"/>
  <Override PartName="/xl/tables/table140.xml" ContentType="application/vnd.openxmlformats-officedocument.spreadsheetml.table+xml"/>
  <Override PartName="/xl/tables/table141.xml" ContentType="application/vnd.openxmlformats-officedocument.spreadsheetml.table+xml"/>
  <Override PartName="/xl/tables/table142.xml" ContentType="application/vnd.openxmlformats-officedocument.spreadsheetml.table+xml"/>
  <Override PartName="/xl/tables/table143.xml" ContentType="application/vnd.openxmlformats-officedocument.spreadsheetml.table+xml"/>
  <Override PartName="/xl/tables/table144.xml" ContentType="application/vnd.openxmlformats-officedocument.spreadsheetml.table+xml"/>
  <Override PartName="/xl/tables/table145.xml" ContentType="application/vnd.openxmlformats-officedocument.spreadsheetml.table+xml"/>
  <Override PartName="/xl/tables/table146.xml" ContentType="application/vnd.openxmlformats-officedocument.spreadsheetml.table+xml"/>
  <Override PartName="/xl/tables/table147.xml" ContentType="application/vnd.openxmlformats-officedocument.spreadsheetml.table+xml"/>
  <Override PartName="/xl/tables/table148.xml" ContentType="application/vnd.openxmlformats-officedocument.spreadsheetml.table+xml"/>
  <Override PartName="/xl/tables/table149.xml" ContentType="application/vnd.openxmlformats-officedocument.spreadsheetml.table+xml"/>
  <Override PartName="/xl/tables/table15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Vote Results\2018\General\"/>
    </mc:Choice>
  </mc:AlternateContent>
  <xr:revisionPtr revIDLastSave="0" documentId="10_ncr:100000_{C00F523D-50DB-49AC-9093-06BF8E0E7BE2}" xr6:coauthVersionLast="31" xr6:coauthVersionMax="31" xr10:uidLastSave="{00000000-0000-0000-0000-000000000000}"/>
  <bookViews>
    <workbookView xWindow="360" yWindow="90" windowWidth="11340" windowHeight="6795" xr2:uid="{00000000-000D-0000-FFFF-FFFF00000000}"/>
  </bookViews>
  <sheets>
    <sheet name="Gov by 1st AD" sheetId="10" r:id="rId1"/>
    <sheet name="Gov by 2nd AD" sheetId="21" r:id="rId2"/>
    <sheet name="Gov by 3rd AD" sheetId="22" r:id="rId3"/>
    <sheet name="Gov by 4th AD" sheetId="23" r:id="rId4"/>
    <sheet name="Gov by 5th AD" sheetId="24" r:id="rId5"/>
    <sheet name="Gov by 6th AD" sheetId="25" r:id="rId6"/>
    <sheet name="Gov by 7th AD" sheetId="26" r:id="rId7"/>
    <sheet name="Gov by 8th AD" sheetId="27" r:id="rId8"/>
    <sheet name="Gov by 9th AD" sheetId="28" r:id="rId9"/>
    <sheet name="Gov by 10th AD" sheetId="29" r:id="rId10"/>
    <sheet name="Gov by 11th AD" sheetId="30" r:id="rId11"/>
    <sheet name="Gov by 12th AD" sheetId="31" r:id="rId12"/>
    <sheet name="Gov by 13th AD" sheetId="32" r:id="rId13"/>
    <sheet name="Gov by 14th AD" sheetId="33" r:id="rId14"/>
    <sheet name="Gov by 15th AD" sheetId="34" r:id="rId15"/>
    <sheet name="Gov by 16th AD" sheetId="35" r:id="rId16"/>
    <sheet name="Gov by 17th AD" sheetId="36" r:id="rId17"/>
    <sheet name="Gov by 18th AD" sheetId="37" r:id="rId18"/>
    <sheet name="Gov by 19th AD" sheetId="38" r:id="rId19"/>
    <sheet name="Gov by 20th AD" sheetId="39" r:id="rId20"/>
    <sheet name="Gov by 21st AD" sheetId="40" r:id="rId21"/>
    <sheet name="Gov by 22nd AD" sheetId="41" r:id="rId22"/>
    <sheet name="Gov by 23rd AD" sheetId="42" r:id="rId23"/>
    <sheet name="Gov by 24th AD" sheetId="43" r:id="rId24"/>
    <sheet name="Gov by 25th AD" sheetId="44" r:id="rId25"/>
    <sheet name="Gov by 26th AD" sheetId="45" r:id="rId26"/>
    <sheet name="Gov by 27th AD" sheetId="46" r:id="rId27"/>
    <sheet name="Gov by 28th AD" sheetId="47" r:id="rId28"/>
    <sheet name="Gov by 29th AD" sheetId="48" r:id="rId29"/>
    <sheet name="Gov by 30th AD" sheetId="49" r:id="rId30"/>
    <sheet name="Gov by 31st AD" sheetId="50" r:id="rId31"/>
    <sheet name="Gov by 32nd AD" sheetId="51" r:id="rId32"/>
    <sheet name="Gov by 33rd AD" sheetId="52" r:id="rId33"/>
    <sheet name="Gov by 34th AD" sheetId="53" r:id="rId34"/>
    <sheet name="Gov by 35th AD" sheetId="54" r:id="rId35"/>
    <sheet name="Gov by 36th AD" sheetId="55" r:id="rId36"/>
    <sheet name="Gov by 37th AD" sheetId="56" r:id="rId37"/>
    <sheet name="Gov by 38th AD" sheetId="57" r:id="rId38"/>
    <sheet name="Gov by 39th AD" sheetId="58" r:id="rId39"/>
    <sheet name="Gov by 40th AD" sheetId="59" r:id="rId40"/>
    <sheet name="Gov by 41st AD" sheetId="60" r:id="rId41"/>
    <sheet name="Gov by 42nd AD" sheetId="61" r:id="rId42"/>
    <sheet name="Gov by 43rd AD" sheetId="62" r:id="rId43"/>
    <sheet name="Gov by 44th AD" sheetId="63" r:id="rId44"/>
    <sheet name="Gov by 45th AD" sheetId="64" r:id="rId45"/>
    <sheet name="Gov by 46th AD" sheetId="65" r:id="rId46"/>
    <sheet name="Gov by 47th AD" sheetId="66" r:id="rId47"/>
    <sheet name="Gov by 48th AD" sheetId="67" r:id="rId48"/>
    <sheet name="Gov by 49th AD" sheetId="68" r:id="rId49"/>
    <sheet name="Gov by 50th AD" sheetId="69" r:id="rId50"/>
    <sheet name="Gov by 51st AD" sheetId="70" r:id="rId51"/>
    <sheet name="Gov by 52nd AD" sheetId="71" r:id="rId52"/>
    <sheet name="Gov by 53rd AD" sheetId="72" r:id="rId53"/>
    <sheet name="Gov by 54th AD" sheetId="73" r:id="rId54"/>
    <sheet name="Gov by 55th AD" sheetId="74" r:id="rId55"/>
    <sheet name="Gov by 56th AD" sheetId="75" r:id="rId56"/>
    <sheet name="Gov by 57th AD" sheetId="76" r:id="rId57"/>
    <sheet name="Gov by 58th AD" sheetId="77" r:id="rId58"/>
    <sheet name="Gov bt 59th AD" sheetId="78" r:id="rId59"/>
    <sheet name="Gov by 60th AD" sheetId="79" r:id="rId60"/>
    <sheet name="Gov by 61st AD" sheetId="80" r:id="rId61"/>
    <sheet name="Gov by 62nd AD" sheetId="81" r:id="rId62"/>
    <sheet name="Gov by 63rd AD" sheetId="82" r:id="rId63"/>
    <sheet name="Gov by 64th AD" sheetId="83" r:id="rId64"/>
    <sheet name="Gov by 65th AD" sheetId="84" r:id="rId65"/>
    <sheet name="Gov by 66th AD" sheetId="85" r:id="rId66"/>
    <sheet name="Gov by 67th AD" sheetId="86" r:id="rId67"/>
    <sheet name="Gov by 68th AD" sheetId="87" r:id="rId68"/>
    <sheet name="Gov by 69th AD" sheetId="88" r:id="rId69"/>
    <sheet name="Gov by 70th AD" sheetId="89" r:id="rId70"/>
    <sheet name="Gov by 71st AD" sheetId="90" r:id="rId71"/>
    <sheet name="Gov by 72nd AD" sheetId="91" r:id="rId72"/>
    <sheet name="Gov by 73rd AD" sheetId="92" r:id="rId73"/>
    <sheet name="Gov by 74th AD" sheetId="93" r:id="rId74"/>
    <sheet name="Gov by 75th AD" sheetId="94" r:id="rId75"/>
    <sheet name="Gov by 76th AD" sheetId="95" r:id="rId76"/>
    <sheet name="Gov by 77th AD" sheetId="96" r:id="rId77"/>
    <sheet name="Gov by 78th AD" sheetId="97" r:id="rId78"/>
    <sheet name="Gov by 79th AD" sheetId="98" r:id="rId79"/>
    <sheet name="Gov by 80th AD" sheetId="99" r:id="rId80"/>
    <sheet name="Gov by 81st AD" sheetId="100" r:id="rId81"/>
    <sheet name="Gov by 82nd AD" sheetId="101" r:id="rId82"/>
    <sheet name="Gov by 83rd AD" sheetId="102" r:id="rId83"/>
    <sheet name="Gov by 84th AD" sheetId="103" r:id="rId84"/>
    <sheet name="Gov by 85th AD" sheetId="104" r:id="rId85"/>
    <sheet name="Gov by 86th AD" sheetId="105" r:id="rId86"/>
    <sheet name="Gov by 87th AD" sheetId="106" r:id="rId87"/>
    <sheet name="Gov by 88th AD" sheetId="107" r:id="rId88"/>
    <sheet name="Gov by 89th AD" sheetId="108" r:id="rId89"/>
    <sheet name="Gov by 90th AD" sheetId="109" r:id="rId90"/>
    <sheet name="Gov by 91st AD" sheetId="110" r:id="rId91"/>
    <sheet name="Gov by 92nd AD" sheetId="111" r:id="rId92"/>
    <sheet name="Gov by 93rd AD" sheetId="112" r:id="rId93"/>
    <sheet name="Gov by 94th AD" sheetId="113" r:id="rId94"/>
    <sheet name="Gov by 95th AD" sheetId="114" r:id="rId95"/>
    <sheet name="Gov by 96th AD" sheetId="115" r:id="rId96"/>
    <sheet name="Gov by 97th AD" sheetId="116" r:id="rId97"/>
    <sheet name="Gov by 98th AD" sheetId="117" r:id="rId98"/>
    <sheet name="Gov by 99th AD" sheetId="118" r:id="rId99"/>
    <sheet name="Gov by 100th AD" sheetId="119" r:id="rId100"/>
    <sheet name="Gov by 101st AD" sheetId="120" r:id="rId101"/>
    <sheet name="Gov by 102nd AD" sheetId="121" r:id="rId102"/>
    <sheet name="Gov by 103rd AD" sheetId="122" r:id="rId103"/>
    <sheet name="Gov by 104th AD" sheetId="123" r:id="rId104"/>
    <sheet name="Gov by 105th AD" sheetId="124" r:id="rId105"/>
    <sheet name="Gov by 106th AD" sheetId="125" r:id="rId106"/>
    <sheet name="Gov by 107th AD" sheetId="126" r:id="rId107"/>
    <sheet name="Gov by 108th AD" sheetId="127" r:id="rId108"/>
    <sheet name="Gov by 109th AD" sheetId="128" r:id="rId109"/>
    <sheet name="Gov by 110th AD" sheetId="129" r:id="rId110"/>
    <sheet name="Gov by 111th AD" sheetId="130" r:id="rId111"/>
    <sheet name="Gov by 112th AD" sheetId="131" r:id="rId112"/>
    <sheet name="Gov by 113th AD" sheetId="132" r:id="rId113"/>
    <sheet name="Gov by 114th AD" sheetId="133" r:id="rId114"/>
    <sheet name="Gov by 115th AD" sheetId="134" r:id="rId115"/>
    <sheet name="Gov by 116th AD" sheetId="135" r:id="rId116"/>
    <sheet name="Gov by 117th AD" sheetId="136" r:id="rId117"/>
    <sheet name="Gov by 118th AD" sheetId="137" r:id="rId118"/>
    <sheet name="Gov by 119th AD" sheetId="138" r:id="rId119"/>
    <sheet name="Gov by 120th AD" sheetId="139" r:id="rId120"/>
    <sheet name="Gov by 121st AD" sheetId="140" r:id="rId121"/>
    <sheet name="Gov by 122nd AD" sheetId="141" r:id="rId122"/>
    <sheet name="Gov by 123rd AD" sheetId="142" r:id="rId123"/>
    <sheet name="Gov by 124th AD" sheetId="143" r:id="rId124"/>
    <sheet name="Gov by 125th AD" sheetId="144" r:id="rId125"/>
    <sheet name="Gov by 126th AD" sheetId="145" r:id="rId126"/>
    <sheet name="Gov by 127th AD" sheetId="146" r:id="rId127"/>
    <sheet name="Gov by 128th AD" sheetId="147" r:id="rId128"/>
    <sheet name="Gov by 129th AD" sheetId="148" r:id="rId129"/>
    <sheet name="Gov by 130th AD" sheetId="149" r:id="rId130"/>
    <sheet name="Gov by 131st AD" sheetId="150" r:id="rId131"/>
    <sheet name="Gov by 132nd AD" sheetId="151" r:id="rId132"/>
    <sheet name="Gov by 133rd AD" sheetId="152" r:id="rId133"/>
    <sheet name="Gov by 134th AD" sheetId="153" r:id="rId134"/>
    <sheet name="Gov by 135th AD" sheetId="154" r:id="rId135"/>
    <sheet name="Gov by 136th AD" sheetId="155" r:id="rId136"/>
    <sheet name="Gov by 137th AD" sheetId="156" r:id="rId137"/>
    <sheet name="Gov by 138th AD" sheetId="157" r:id="rId138"/>
    <sheet name="Gov by 139th AD" sheetId="158" r:id="rId139"/>
    <sheet name="Gov by 140th AD" sheetId="159" r:id="rId140"/>
    <sheet name="Gov by 141st AD" sheetId="160" r:id="rId141"/>
    <sheet name="Gov by 142nd AD" sheetId="161" r:id="rId142"/>
    <sheet name="Gov by 143rd AD" sheetId="162" r:id="rId143"/>
    <sheet name="Gov by 144th AD" sheetId="163" r:id="rId144"/>
    <sheet name="Gov by 145th AD" sheetId="164" r:id="rId145"/>
    <sheet name="Gov by 146th AD" sheetId="165" r:id="rId146"/>
    <sheet name="Gov by 147th AD" sheetId="166" r:id="rId147"/>
    <sheet name="Gov by 148th AD" sheetId="167" r:id="rId148"/>
    <sheet name="Gov by 149th AD" sheetId="168" r:id="rId149"/>
    <sheet name="Gov by 150th AD" sheetId="169" r:id="rId150"/>
  </sheets>
  <definedNames>
    <definedName name="_xlnm.Print_Area" localSheetId="0">'Gov by 1st AD'!$A$1:$L$1480</definedName>
  </definedNames>
  <calcPr calcId="179017"/>
</workbook>
</file>

<file path=xl/calcChain.xml><?xml version="1.0" encoding="utf-8"?>
<calcChain xmlns="http://schemas.openxmlformats.org/spreadsheetml/2006/main">
  <c r="C15" i="93" l="1"/>
  <c r="I14" i="121" l="1"/>
  <c r="I12" i="121"/>
  <c r="I10" i="121"/>
  <c r="I8" i="121"/>
  <c r="I6" i="121"/>
  <c r="I4" i="121"/>
  <c r="I3" i="121"/>
  <c r="C3" i="169" l="1"/>
  <c r="C4" i="169"/>
  <c r="C5" i="169"/>
  <c r="C6" i="169"/>
  <c r="D6" i="169" s="1"/>
  <c r="C7" i="169"/>
  <c r="C8" i="169"/>
  <c r="C9" i="169"/>
  <c r="C10" i="169"/>
  <c r="C11" i="169"/>
  <c r="D11" i="169" s="1"/>
  <c r="C12" i="169"/>
  <c r="D12" i="169" s="1"/>
  <c r="C13" i="169"/>
  <c r="C14" i="169"/>
  <c r="C15" i="169"/>
  <c r="C3" i="168"/>
  <c r="C4" i="168"/>
  <c r="C5" i="168"/>
  <c r="C6" i="168"/>
  <c r="D6" i="168" s="1"/>
  <c r="C7" i="168"/>
  <c r="C8" i="168"/>
  <c r="C9" i="168"/>
  <c r="C10" i="168"/>
  <c r="C11" i="168"/>
  <c r="D11" i="168" s="1"/>
  <c r="C12" i="168"/>
  <c r="D12" i="168" s="1"/>
  <c r="C13" i="168"/>
  <c r="C14" i="168"/>
  <c r="C15" i="168"/>
  <c r="E3" i="167"/>
  <c r="E4" i="167"/>
  <c r="E5" i="167"/>
  <c r="E6" i="167"/>
  <c r="F6" i="167" s="1"/>
  <c r="E7" i="167"/>
  <c r="E8" i="167"/>
  <c r="E9" i="167"/>
  <c r="E10" i="167"/>
  <c r="E11" i="167"/>
  <c r="F11" i="167" s="1"/>
  <c r="E12" i="167"/>
  <c r="F12" i="167" s="1"/>
  <c r="E13" i="167"/>
  <c r="E14" i="167"/>
  <c r="E15" i="167"/>
  <c r="D3" i="166"/>
  <c r="D4" i="166"/>
  <c r="D5" i="166"/>
  <c r="D6" i="166"/>
  <c r="E6" i="166" s="1"/>
  <c r="D7" i="166"/>
  <c r="D8" i="166"/>
  <c r="D9" i="166"/>
  <c r="D10" i="166"/>
  <c r="D11" i="166"/>
  <c r="E11" i="166" s="1"/>
  <c r="D12" i="166"/>
  <c r="E12" i="166" s="1"/>
  <c r="D13" i="166"/>
  <c r="D14" i="166"/>
  <c r="D15" i="166"/>
  <c r="D3" i="165"/>
  <c r="D4" i="165"/>
  <c r="D5" i="165"/>
  <c r="D6" i="165"/>
  <c r="E6" i="165" s="1"/>
  <c r="D7" i="165"/>
  <c r="D8" i="165"/>
  <c r="D9" i="165"/>
  <c r="D10" i="165"/>
  <c r="D11" i="165"/>
  <c r="E11" i="165" s="1"/>
  <c r="D12" i="165"/>
  <c r="E12" i="165" s="1"/>
  <c r="D13" i="165"/>
  <c r="D14" i="165"/>
  <c r="D15" i="165"/>
  <c r="D3" i="164"/>
  <c r="D4" i="164"/>
  <c r="D5" i="164"/>
  <c r="D6" i="164"/>
  <c r="E6" i="164" s="1"/>
  <c r="D7" i="164"/>
  <c r="D8" i="164"/>
  <c r="D9" i="164"/>
  <c r="D10" i="164"/>
  <c r="D11" i="164"/>
  <c r="E11" i="164" s="1"/>
  <c r="D12" i="164"/>
  <c r="E12" i="164" s="1"/>
  <c r="D13" i="164"/>
  <c r="D14" i="164"/>
  <c r="D15" i="164"/>
  <c r="E3" i="163"/>
  <c r="E4" i="163"/>
  <c r="E5" i="163"/>
  <c r="E6" i="163"/>
  <c r="F6" i="163" s="1"/>
  <c r="E7" i="163"/>
  <c r="E8" i="163"/>
  <c r="E9" i="163"/>
  <c r="E10" i="163"/>
  <c r="E11" i="163"/>
  <c r="F11" i="163" s="1"/>
  <c r="E12" i="163"/>
  <c r="F12" i="163" s="1"/>
  <c r="E13" i="163"/>
  <c r="E14" i="163"/>
  <c r="E15" i="163"/>
  <c r="C3" i="162"/>
  <c r="C4" i="162"/>
  <c r="C5" i="162"/>
  <c r="C6" i="162"/>
  <c r="D6" i="162" s="1"/>
  <c r="C7" i="162"/>
  <c r="C8" i="162"/>
  <c r="C9" i="162"/>
  <c r="C10" i="162"/>
  <c r="C11" i="162"/>
  <c r="D11" i="162" s="1"/>
  <c r="C12" i="162"/>
  <c r="D12" i="162" s="1"/>
  <c r="C13" i="162"/>
  <c r="C14" i="162"/>
  <c r="C15" i="162"/>
  <c r="C3" i="161"/>
  <c r="C4" i="161"/>
  <c r="C5" i="161"/>
  <c r="C6" i="161"/>
  <c r="D6" i="161" s="1"/>
  <c r="C7" i="161"/>
  <c r="C8" i="161"/>
  <c r="C9" i="161"/>
  <c r="C10" i="161"/>
  <c r="C11" i="161"/>
  <c r="D11" i="161" s="1"/>
  <c r="C12" i="161"/>
  <c r="D12" i="161" s="1"/>
  <c r="C13" i="161"/>
  <c r="C14" i="161"/>
  <c r="C15" i="161"/>
  <c r="C3" i="160"/>
  <c r="C4" i="160"/>
  <c r="C5" i="160"/>
  <c r="C6" i="160"/>
  <c r="D6" i="160" s="1"/>
  <c r="C7" i="160"/>
  <c r="C8" i="160"/>
  <c r="C9" i="160"/>
  <c r="C10" i="160"/>
  <c r="C11" i="160"/>
  <c r="D11" i="160" s="1"/>
  <c r="C12" i="160"/>
  <c r="D12" i="160" s="1"/>
  <c r="C13" i="160"/>
  <c r="C14" i="160"/>
  <c r="C15" i="160"/>
  <c r="D3" i="159"/>
  <c r="D4" i="159"/>
  <c r="D5" i="159"/>
  <c r="D6" i="159"/>
  <c r="E6" i="159" s="1"/>
  <c r="D7" i="159"/>
  <c r="D8" i="159"/>
  <c r="D9" i="159"/>
  <c r="D10" i="159"/>
  <c r="D11" i="159"/>
  <c r="E11" i="159" s="1"/>
  <c r="D12" i="159"/>
  <c r="E12" i="159" s="1"/>
  <c r="D13" i="159"/>
  <c r="D14" i="159"/>
  <c r="D15" i="159"/>
  <c r="E3" i="158"/>
  <c r="E4" i="158"/>
  <c r="E5" i="158"/>
  <c r="E6" i="158"/>
  <c r="F6" i="158" s="1"/>
  <c r="E7" i="158"/>
  <c r="E8" i="158"/>
  <c r="E9" i="158"/>
  <c r="E10" i="158"/>
  <c r="E11" i="158"/>
  <c r="F11" i="158" s="1"/>
  <c r="E12" i="158"/>
  <c r="F12" i="158" s="1"/>
  <c r="E13" i="158"/>
  <c r="E14" i="158"/>
  <c r="E15" i="158"/>
  <c r="C3" i="157"/>
  <c r="C4" i="157"/>
  <c r="C5" i="157"/>
  <c r="C6" i="157"/>
  <c r="D6" i="157" s="1"/>
  <c r="C7" i="157"/>
  <c r="C8" i="157"/>
  <c r="C9" i="157"/>
  <c r="C10" i="157"/>
  <c r="C11" i="157"/>
  <c r="D11" i="157" s="1"/>
  <c r="C12" i="157"/>
  <c r="D12" i="157" s="1"/>
  <c r="C13" i="157"/>
  <c r="C14" i="157"/>
  <c r="C15" i="157"/>
  <c r="C3" i="156"/>
  <c r="C4" i="156"/>
  <c r="C5" i="156"/>
  <c r="C6" i="156"/>
  <c r="D6" i="156" s="1"/>
  <c r="C7" i="156"/>
  <c r="C8" i="156"/>
  <c r="C9" i="156"/>
  <c r="C10" i="156"/>
  <c r="C11" i="156"/>
  <c r="D11" i="156" s="1"/>
  <c r="C12" i="156"/>
  <c r="D12" i="156" s="1"/>
  <c r="C13" i="156"/>
  <c r="C14" i="156"/>
  <c r="C15" i="156"/>
  <c r="C3" i="155"/>
  <c r="C4" i="155"/>
  <c r="C5" i="155"/>
  <c r="C6" i="155"/>
  <c r="D6" i="155" s="1"/>
  <c r="C7" i="155"/>
  <c r="C8" i="155"/>
  <c r="C9" i="155"/>
  <c r="C10" i="155"/>
  <c r="C11" i="155"/>
  <c r="D11" i="155" s="1"/>
  <c r="C12" i="155"/>
  <c r="D12" i="155" s="1"/>
  <c r="C13" i="155"/>
  <c r="C14" i="155"/>
  <c r="C15" i="155"/>
  <c r="C3" i="154"/>
  <c r="C4" i="154"/>
  <c r="C5" i="154"/>
  <c r="C6" i="154"/>
  <c r="D6" i="154" s="1"/>
  <c r="C7" i="154"/>
  <c r="C8" i="154"/>
  <c r="C9" i="154"/>
  <c r="C10" i="154"/>
  <c r="C11" i="154"/>
  <c r="D11" i="154" s="1"/>
  <c r="C12" i="154"/>
  <c r="D12" i="154" s="1"/>
  <c r="C13" i="154"/>
  <c r="C14" i="154"/>
  <c r="C15" i="154"/>
  <c r="C3" i="153"/>
  <c r="C4" i="153"/>
  <c r="C5" i="153"/>
  <c r="C6" i="153"/>
  <c r="D6" i="153" s="1"/>
  <c r="C7" i="153"/>
  <c r="C8" i="153"/>
  <c r="C9" i="153"/>
  <c r="C10" i="153"/>
  <c r="C11" i="153"/>
  <c r="D11" i="153" s="1"/>
  <c r="C12" i="153"/>
  <c r="D12" i="153" s="1"/>
  <c r="C13" i="153"/>
  <c r="C14" i="153"/>
  <c r="C15" i="153"/>
  <c r="E3" i="152"/>
  <c r="E4" i="152"/>
  <c r="E5" i="152"/>
  <c r="E6" i="152"/>
  <c r="F6" i="152" s="1"/>
  <c r="E7" i="152"/>
  <c r="E8" i="152"/>
  <c r="E9" i="152"/>
  <c r="E10" i="152"/>
  <c r="E11" i="152"/>
  <c r="F11" i="152" s="1"/>
  <c r="E12" i="152"/>
  <c r="F12" i="152" s="1"/>
  <c r="E13" i="152"/>
  <c r="E14" i="152"/>
  <c r="E15" i="152"/>
  <c r="G3" i="151"/>
  <c r="G4" i="151"/>
  <c r="G5" i="151"/>
  <c r="G6" i="151"/>
  <c r="H6" i="151" s="1"/>
  <c r="G7" i="151"/>
  <c r="G8" i="151"/>
  <c r="G9" i="151"/>
  <c r="G10" i="151"/>
  <c r="G11" i="151"/>
  <c r="H11" i="151" s="1"/>
  <c r="G12" i="151"/>
  <c r="H12" i="151" s="1"/>
  <c r="G13" i="151"/>
  <c r="G14" i="151"/>
  <c r="G15" i="151"/>
  <c r="D3" i="150"/>
  <c r="D4" i="150"/>
  <c r="D5" i="150"/>
  <c r="D6" i="150"/>
  <c r="E6" i="150" s="1"/>
  <c r="D7" i="150"/>
  <c r="D8" i="150"/>
  <c r="D9" i="150"/>
  <c r="D10" i="150"/>
  <c r="D11" i="150"/>
  <c r="E11" i="150" s="1"/>
  <c r="D12" i="150"/>
  <c r="E12" i="150" s="1"/>
  <c r="D13" i="150"/>
  <c r="D14" i="150"/>
  <c r="D15" i="150"/>
  <c r="E3" i="149"/>
  <c r="E4" i="149"/>
  <c r="E5" i="149"/>
  <c r="E6" i="149"/>
  <c r="F6" i="149" s="1"/>
  <c r="E7" i="149"/>
  <c r="E8" i="149"/>
  <c r="E9" i="149"/>
  <c r="E10" i="149"/>
  <c r="E11" i="149"/>
  <c r="F11" i="149" s="1"/>
  <c r="E12" i="149"/>
  <c r="F12" i="149" s="1"/>
  <c r="E13" i="149"/>
  <c r="E14" i="149"/>
  <c r="E15" i="149"/>
  <c r="C3" i="148"/>
  <c r="C4" i="148"/>
  <c r="C5" i="148"/>
  <c r="C6" i="148"/>
  <c r="D6" i="148" s="1"/>
  <c r="C7" i="148"/>
  <c r="C8" i="148"/>
  <c r="C9" i="148"/>
  <c r="C10" i="148"/>
  <c r="C11" i="148"/>
  <c r="D11" i="148" s="1"/>
  <c r="C12" i="148"/>
  <c r="D12" i="148" s="1"/>
  <c r="C13" i="148"/>
  <c r="C14" i="148"/>
  <c r="C15" i="148"/>
  <c r="C3" i="147"/>
  <c r="C4" i="147"/>
  <c r="C5" i="147"/>
  <c r="C6" i="147"/>
  <c r="D6" i="147" s="1"/>
  <c r="C7" i="147"/>
  <c r="C8" i="147"/>
  <c r="C9" i="147"/>
  <c r="C10" i="147"/>
  <c r="C11" i="147"/>
  <c r="D11" i="147" s="1"/>
  <c r="C12" i="147"/>
  <c r="D12" i="147" s="1"/>
  <c r="C13" i="147"/>
  <c r="C14" i="147"/>
  <c r="C15" i="147"/>
  <c r="C3" i="146"/>
  <c r="C4" i="146"/>
  <c r="C5" i="146"/>
  <c r="C6" i="146"/>
  <c r="D6" i="146" s="1"/>
  <c r="C7" i="146"/>
  <c r="C8" i="146"/>
  <c r="C9" i="146"/>
  <c r="C10" i="146"/>
  <c r="C11" i="146"/>
  <c r="D11" i="146" s="1"/>
  <c r="C12" i="146"/>
  <c r="D12" i="146" s="1"/>
  <c r="C13" i="146"/>
  <c r="C14" i="146"/>
  <c r="C15" i="146"/>
  <c r="F3" i="145"/>
  <c r="F4" i="145"/>
  <c r="F5" i="145"/>
  <c r="F6" i="145"/>
  <c r="G6" i="145" s="1"/>
  <c r="F7" i="145"/>
  <c r="F8" i="145"/>
  <c r="F9" i="145"/>
  <c r="F10" i="145"/>
  <c r="F11" i="145"/>
  <c r="G11" i="145" s="1"/>
  <c r="F12" i="145"/>
  <c r="G12" i="145" s="1"/>
  <c r="F13" i="145"/>
  <c r="F14" i="145"/>
  <c r="F15" i="145"/>
  <c r="D3" i="144"/>
  <c r="D4" i="144"/>
  <c r="D5" i="144"/>
  <c r="D6" i="144"/>
  <c r="E6" i="144" s="1"/>
  <c r="D7" i="144"/>
  <c r="D8" i="144"/>
  <c r="D9" i="144"/>
  <c r="D10" i="144"/>
  <c r="D11" i="144"/>
  <c r="E11" i="144" s="1"/>
  <c r="D12" i="144"/>
  <c r="E12" i="144" s="1"/>
  <c r="D13" i="144"/>
  <c r="D14" i="144"/>
  <c r="D15" i="144"/>
  <c r="E3" i="143"/>
  <c r="E4" i="143"/>
  <c r="E5" i="143"/>
  <c r="E6" i="143"/>
  <c r="F6" i="143" s="1"/>
  <c r="E7" i="143"/>
  <c r="E8" i="143"/>
  <c r="E9" i="143"/>
  <c r="E10" i="143"/>
  <c r="E11" i="143"/>
  <c r="F11" i="143" s="1"/>
  <c r="E12" i="143"/>
  <c r="F12" i="143" s="1"/>
  <c r="E13" i="143"/>
  <c r="E14" i="143"/>
  <c r="E15" i="143"/>
  <c r="C3" i="142"/>
  <c r="C4" i="142"/>
  <c r="C5" i="142"/>
  <c r="C6" i="142"/>
  <c r="D6" i="142" s="1"/>
  <c r="C7" i="142"/>
  <c r="C8" i="142"/>
  <c r="C9" i="142"/>
  <c r="C10" i="142"/>
  <c r="C11" i="142"/>
  <c r="D11" i="142" s="1"/>
  <c r="C12" i="142"/>
  <c r="D12" i="142" s="1"/>
  <c r="C13" i="142"/>
  <c r="C14" i="142"/>
  <c r="C15" i="142"/>
  <c r="F3" i="141"/>
  <c r="F4" i="141"/>
  <c r="F5" i="141"/>
  <c r="F6" i="141"/>
  <c r="G6" i="141" s="1"/>
  <c r="F7" i="141"/>
  <c r="F8" i="141"/>
  <c r="F9" i="141"/>
  <c r="F10" i="141"/>
  <c r="F11" i="141"/>
  <c r="G11" i="141" s="1"/>
  <c r="F12" i="141"/>
  <c r="G12" i="141" s="1"/>
  <c r="F13" i="141"/>
  <c r="F14" i="141"/>
  <c r="F15" i="141"/>
  <c r="E3" i="140"/>
  <c r="E4" i="140"/>
  <c r="E5" i="140"/>
  <c r="E6" i="140"/>
  <c r="F6" i="140" s="1"/>
  <c r="E7" i="140"/>
  <c r="E8" i="140"/>
  <c r="E9" i="140"/>
  <c r="E10" i="140"/>
  <c r="E11" i="140"/>
  <c r="F11" i="140" s="1"/>
  <c r="E12" i="140"/>
  <c r="F12" i="140" s="1"/>
  <c r="E13" i="140"/>
  <c r="E14" i="140"/>
  <c r="E15" i="140"/>
  <c r="E3" i="139"/>
  <c r="E4" i="139"/>
  <c r="E5" i="139"/>
  <c r="E6" i="139"/>
  <c r="F6" i="139" s="1"/>
  <c r="E7" i="139"/>
  <c r="E8" i="139"/>
  <c r="E9" i="139"/>
  <c r="E10" i="139"/>
  <c r="E11" i="139"/>
  <c r="F11" i="139" s="1"/>
  <c r="E12" i="139"/>
  <c r="F12" i="139" s="1"/>
  <c r="E13" i="139"/>
  <c r="E14" i="139"/>
  <c r="E15" i="139"/>
  <c r="D3" i="138"/>
  <c r="D4" i="138"/>
  <c r="D5" i="138"/>
  <c r="D6" i="138"/>
  <c r="E6" i="138" s="1"/>
  <c r="D7" i="138"/>
  <c r="D8" i="138"/>
  <c r="D9" i="138"/>
  <c r="D10" i="138"/>
  <c r="D11" i="138"/>
  <c r="E11" i="138" s="1"/>
  <c r="D12" i="138"/>
  <c r="E12" i="138" s="1"/>
  <c r="D13" i="138"/>
  <c r="D14" i="138"/>
  <c r="D15" i="138"/>
  <c r="G3" i="137"/>
  <c r="G4" i="137"/>
  <c r="G5" i="137"/>
  <c r="G6" i="137"/>
  <c r="H6" i="137" s="1"/>
  <c r="G7" i="137"/>
  <c r="G8" i="137"/>
  <c r="G9" i="137"/>
  <c r="G10" i="137"/>
  <c r="G11" i="137"/>
  <c r="H11" i="137" s="1"/>
  <c r="G12" i="137"/>
  <c r="H12" i="137" s="1"/>
  <c r="G13" i="137"/>
  <c r="G14" i="137"/>
  <c r="G15" i="137"/>
  <c r="F3" i="136"/>
  <c r="F4" i="136"/>
  <c r="F5" i="136"/>
  <c r="F6" i="136"/>
  <c r="G6" i="136" s="1"/>
  <c r="F7" i="136"/>
  <c r="F8" i="136"/>
  <c r="F9" i="136"/>
  <c r="F10" i="136"/>
  <c r="F11" i="136"/>
  <c r="G11" i="136" s="1"/>
  <c r="F12" i="136"/>
  <c r="G12" i="136" s="1"/>
  <c r="F13" i="136"/>
  <c r="F14" i="136"/>
  <c r="F15" i="136"/>
  <c r="D3" i="135"/>
  <c r="D4" i="135"/>
  <c r="D5" i="135"/>
  <c r="D6" i="135"/>
  <c r="E6" i="135" s="1"/>
  <c r="D7" i="135"/>
  <c r="D8" i="135"/>
  <c r="D9" i="135"/>
  <c r="D10" i="135"/>
  <c r="D11" i="135"/>
  <c r="E11" i="135" s="1"/>
  <c r="D12" i="135"/>
  <c r="E12" i="135" s="1"/>
  <c r="D13" i="135"/>
  <c r="D14" i="135"/>
  <c r="D15" i="135"/>
  <c r="E3" i="134"/>
  <c r="E4" i="134"/>
  <c r="E5" i="134"/>
  <c r="E6" i="134"/>
  <c r="F6" i="134" s="1"/>
  <c r="E7" i="134"/>
  <c r="E8" i="134"/>
  <c r="E9" i="134"/>
  <c r="E10" i="134"/>
  <c r="E11" i="134"/>
  <c r="F11" i="134" s="1"/>
  <c r="E12" i="134"/>
  <c r="F12" i="134" s="1"/>
  <c r="E13" i="134"/>
  <c r="E14" i="134"/>
  <c r="E15" i="134"/>
  <c r="F3" i="133"/>
  <c r="F4" i="133"/>
  <c r="F5" i="133"/>
  <c r="F6" i="133"/>
  <c r="G6" i="133" s="1"/>
  <c r="F7" i="133"/>
  <c r="F8" i="133"/>
  <c r="F9" i="133"/>
  <c r="F10" i="133"/>
  <c r="F11" i="133"/>
  <c r="G11" i="133" s="1"/>
  <c r="F12" i="133"/>
  <c r="G12" i="133" s="1"/>
  <c r="F13" i="133"/>
  <c r="F14" i="133"/>
  <c r="F15" i="133"/>
  <c r="D3" i="132"/>
  <c r="D4" i="132"/>
  <c r="D5" i="132"/>
  <c r="D6" i="132"/>
  <c r="E6" i="132" s="1"/>
  <c r="D7" i="132"/>
  <c r="D8" i="132"/>
  <c r="D9" i="132"/>
  <c r="D10" i="132"/>
  <c r="D11" i="132"/>
  <c r="E11" i="132" s="1"/>
  <c r="D12" i="132"/>
  <c r="E12" i="132" s="1"/>
  <c r="D13" i="132"/>
  <c r="D14" i="132"/>
  <c r="D15" i="132"/>
  <c r="D3" i="131"/>
  <c r="D4" i="131"/>
  <c r="D5" i="131"/>
  <c r="D6" i="131"/>
  <c r="E6" i="131" s="1"/>
  <c r="D7" i="131"/>
  <c r="D8" i="131"/>
  <c r="D9" i="131"/>
  <c r="D10" i="131"/>
  <c r="D11" i="131"/>
  <c r="E11" i="131" s="1"/>
  <c r="D12" i="131"/>
  <c r="E12" i="131" s="1"/>
  <c r="D13" i="131"/>
  <c r="D14" i="131"/>
  <c r="D15" i="131"/>
  <c r="E3" i="130"/>
  <c r="E4" i="130"/>
  <c r="E5" i="130"/>
  <c r="E6" i="130"/>
  <c r="F6" i="130" s="1"/>
  <c r="E7" i="130"/>
  <c r="E8" i="130"/>
  <c r="E9" i="130"/>
  <c r="E10" i="130"/>
  <c r="E11" i="130"/>
  <c r="F11" i="130" s="1"/>
  <c r="E12" i="130"/>
  <c r="F12" i="130" s="1"/>
  <c r="E13" i="130"/>
  <c r="E14" i="130"/>
  <c r="E15" i="130"/>
  <c r="D3" i="129"/>
  <c r="D4" i="129"/>
  <c r="D5" i="129"/>
  <c r="D6" i="129"/>
  <c r="E6" i="129" s="1"/>
  <c r="D7" i="129"/>
  <c r="D8" i="129"/>
  <c r="D9" i="129"/>
  <c r="D10" i="129"/>
  <c r="D11" i="129"/>
  <c r="E11" i="129" s="1"/>
  <c r="D12" i="129"/>
  <c r="E12" i="129" s="1"/>
  <c r="D13" i="129"/>
  <c r="D14" i="129"/>
  <c r="D15" i="129"/>
  <c r="C3" i="128"/>
  <c r="C4" i="128"/>
  <c r="C5" i="128"/>
  <c r="C6" i="128"/>
  <c r="D6" i="128" s="1"/>
  <c r="C7" i="128"/>
  <c r="C8" i="128"/>
  <c r="C9" i="128"/>
  <c r="C10" i="128"/>
  <c r="C11" i="128"/>
  <c r="D11" i="128" s="1"/>
  <c r="C12" i="128"/>
  <c r="D12" i="128" s="1"/>
  <c r="C13" i="128"/>
  <c r="C14" i="128"/>
  <c r="C15" i="128"/>
  <c r="E3" i="127"/>
  <c r="E4" i="127"/>
  <c r="E5" i="127"/>
  <c r="E6" i="127"/>
  <c r="F6" i="127" s="1"/>
  <c r="E7" i="127"/>
  <c r="E8" i="127"/>
  <c r="E9" i="127"/>
  <c r="E10" i="127"/>
  <c r="E11" i="127"/>
  <c r="F11" i="127" s="1"/>
  <c r="E12" i="127"/>
  <c r="F12" i="127" s="1"/>
  <c r="E13" i="127"/>
  <c r="E14" i="127"/>
  <c r="E15" i="127"/>
  <c r="E3" i="126"/>
  <c r="E4" i="126"/>
  <c r="E5" i="126"/>
  <c r="E6" i="126"/>
  <c r="F6" i="126" s="1"/>
  <c r="E7" i="126"/>
  <c r="E8" i="126"/>
  <c r="E9" i="126"/>
  <c r="E10" i="126"/>
  <c r="E11" i="126"/>
  <c r="F11" i="126" s="1"/>
  <c r="E12" i="126"/>
  <c r="F12" i="126" s="1"/>
  <c r="E13" i="126"/>
  <c r="E14" i="126"/>
  <c r="E15" i="126"/>
  <c r="D3" i="125"/>
  <c r="D4" i="125"/>
  <c r="D5" i="125"/>
  <c r="D6" i="125"/>
  <c r="E6" i="125" s="1"/>
  <c r="D7" i="125"/>
  <c r="D8" i="125"/>
  <c r="D9" i="125"/>
  <c r="D10" i="125"/>
  <c r="D11" i="125"/>
  <c r="E11" i="125" s="1"/>
  <c r="D12" i="125"/>
  <c r="E12" i="125" s="1"/>
  <c r="D13" i="125"/>
  <c r="D14" i="125"/>
  <c r="D15" i="125"/>
  <c r="C3" i="124"/>
  <c r="C4" i="124"/>
  <c r="C5" i="124"/>
  <c r="C6" i="124"/>
  <c r="D6" i="124" s="1"/>
  <c r="C7" i="124"/>
  <c r="C8" i="124"/>
  <c r="C9" i="124"/>
  <c r="C10" i="124"/>
  <c r="C11" i="124"/>
  <c r="D11" i="124" s="1"/>
  <c r="C12" i="124"/>
  <c r="D12" i="124" s="1"/>
  <c r="C13" i="124"/>
  <c r="C14" i="124"/>
  <c r="C15" i="124"/>
  <c r="E3" i="123"/>
  <c r="E4" i="123"/>
  <c r="E5" i="123"/>
  <c r="E6" i="123"/>
  <c r="F6" i="123" s="1"/>
  <c r="E7" i="123"/>
  <c r="E8" i="123"/>
  <c r="E9" i="123"/>
  <c r="E10" i="123"/>
  <c r="E11" i="123"/>
  <c r="F11" i="123" s="1"/>
  <c r="E12" i="123"/>
  <c r="F12" i="123" s="1"/>
  <c r="E13" i="123"/>
  <c r="E14" i="123"/>
  <c r="E15" i="123"/>
  <c r="D3" i="122"/>
  <c r="D4" i="122"/>
  <c r="D5" i="122"/>
  <c r="D6" i="122"/>
  <c r="E6" i="122" s="1"/>
  <c r="D7" i="122"/>
  <c r="D8" i="122"/>
  <c r="D9" i="122"/>
  <c r="D10" i="122"/>
  <c r="D11" i="122"/>
  <c r="E11" i="122" s="1"/>
  <c r="D12" i="122"/>
  <c r="E12" i="122" s="1"/>
  <c r="D13" i="122"/>
  <c r="D14" i="122"/>
  <c r="D15" i="122"/>
  <c r="I5" i="121"/>
  <c r="J4" i="121" s="1"/>
  <c r="J6" i="121"/>
  <c r="I7" i="121"/>
  <c r="I9" i="121"/>
  <c r="I11" i="121"/>
  <c r="J11" i="121" s="1"/>
  <c r="J12" i="121"/>
  <c r="I13" i="121"/>
  <c r="I15" i="121"/>
  <c r="I3" i="120"/>
  <c r="I4" i="120"/>
  <c r="I5" i="120"/>
  <c r="I6" i="120"/>
  <c r="J6" i="120" s="1"/>
  <c r="I7" i="120"/>
  <c r="I8" i="120"/>
  <c r="I9" i="120"/>
  <c r="I10" i="120"/>
  <c r="I11" i="120"/>
  <c r="J11" i="120" s="1"/>
  <c r="I12" i="120"/>
  <c r="J12" i="120" s="1"/>
  <c r="I13" i="120"/>
  <c r="I14" i="120"/>
  <c r="I15" i="120"/>
  <c r="D3" i="119"/>
  <c r="D4" i="119"/>
  <c r="D5" i="119"/>
  <c r="D6" i="119"/>
  <c r="E6" i="119" s="1"/>
  <c r="D7" i="119"/>
  <c r="D8" i="119"/>
  <c r="D9" i="119"/>
  <c r="D10" i="119"/>
  <c r="D11" i="119"/>
  <c r="E11" i="119" s="1"/>
  <c r="D12" i="119"/>
  <c r="E12" i="119" s="1"/>
  <c r="D13" i="119"/>
  <c r="D14" i="119"/>
  <c r="D15" i="119"/>
  <c r="D3" i="118"/>
  <c r="D4" i="118"/>
  <c r="D5" i="118"/>
  <c r="D6" i="118"/>
  <c r="E6" i="118" s="1"/>
  <c r="D7" i="118"/>
  <c r="D8" i="118"/>
  <c r="D9" i="118"/>
  <c r="D10" i="118"/>
  <c r="D11" i="118"/>
  <c r="E11" i="118" s="1"/>
  <c r="D12" i="118"/>
  <c r="E12" i="118" s="1"/>
  <c r="D13" i="118"/>
  <c r="D14" i="118"/>
  <c r="D15" i="118"/>
  <c r="D3" i="117"/>
  <c r="D4" i="117"/>
  <c r="D5" i="117"/>
  <c r="D6" i="117"/>
  <c r="E6" i="117" s="1"/>
  <c r="D7" i="117"/>
  <c r="D8" i="117"/>
  <c r="D9" i="117"/>
  <c r="D10" i="117"/>
  <c r="D11" i="117"/>
  <c r="E11" i="117" s="1"/>
  <c r="D12" i="117"/>
  <c r="E12" i="117" s="1"/>
  <c r="D13" i="117"/>
  <c r="D14" i="117"/>
  <c r="D15" i="117"/>
  <c r="C3" i="116"/>
  <c r="C4" i="116"/>
  <c r="C5" i="116"/>
  <c r="C6" i="116"/>
  <c r="D6" i="116" s="1"/>
  <c r="C7" i="116"/>
  <c r="C8" i="116"/>
  <c r="C9" i="116"/>
  <c r="C10" i="116"/>
  <c r="C11" i="116"/>
  <c r="D11" i="116" s="1"/>
  <c r="C12" i="116"/>
  <c r="D12" i="116" s="1"/>
  <c r="C13" i="116"/>
  <c r="C14" i="116"/>
  <c r="C15" i="116"/>
  <c r="C3" i="115"/>
  <c r="C4" i="115"/>
  <c r="C5" i="115"/>
  <c r="C6" i="115"/>
  <c r="D6" i="115" s="1"/>
  <c r="C7" i="115"/>
  <c r="C8" i="115"/>
  <c r="C9" i="115"/>
  <c r="C10" i="115"/>
  <c r="C11" i="115"/>
  <c r="D11" i="115" s="1"/>
  <c r="C12" i="115"/>
  <c r="D12" i="115" s="1"/>
  <c r="C13" i="115"/>
  <c r="C14" i="115"/>
  <c r="C15" i="115"/>
  <c r="D8" i="114"/>
  <c r="D3" i="114"/>
  <c r="D4" i="114"/>
  <c r="D5" i="114"/>
  <c r="D6" i="114"/>
  <c r="E6" i="114" s="1"/>
  <c r="D7" i="114"/>
  <c r="D9" i="114"/>
  <c r="D10" i="114"/>
  <c r="D11" i="114"/>
  <c r="E11" i="114" s="1"/>
  <c r="D12" i="114"/>
  <c r="E12" i="114" s="1"/>
  <c r="D13" i="114"/>
  <c r="D14" i="114"/>
  <c r="D15" i="114"/>
  <c r="D3" i="113"/>
  <c r="D4" i="113"/>
  <c r="D5" i="113"/>
  <c r="D6" i="113"/>
  <c r="E6" i="113" s="1"/>
  <c r="D7" i="113"/>
  <c r="D8" i="113"/>
  <c r="D9" i="113"/>
  <c r="D10" i="113"/>
  <c r="D11" i="113"/>
  <c r="E11" i="113" s="1"/>
  <c r="D12" i="113"/>
  <c r="E12" i="113" s="1"/>
  <c r="D13" i="113"/>
  <c r="D14" i="113"/>
  <c r="D15" i="113"/>
  <c r="C3" i="112"/>
  <c r="C4" i="112"/>
  <c r="C5" i="112"/>
  <c r="C6" i="112"/>
  <c r="D6" i="112" s="1"/>
  <c r="C7" i="112"/>
  <c r="C8" i="112"/>
  <c r="C9" i="112"/>
  <c r="C10" i="112"/>
  <c r="C11" i="112"/>
  <c r="D11" i="112" s="1"/>
  <c r="C12" i="112"/>
  <c r="D12" i="112" s="1"/>
  <c r="C13" i="112"/>
  <c r="C14" i="112"/>
  <c r="C15" i="112"/>
  <c r="C3" i="111"/>
  <c r="C4" i="111"/>
  <c r="C5" i="111"/>
  <c r="C6" i="111"/>
  <c r="D6" i="111" s="1"/>
  <c r="C7" i="111"/>
  <c r="C8" i="111"/>
  <c r="C9" i="111"/>
  <c r="C10" i="111"/>
  <c r="C11" i="111"/>
  <c r="D11" i="111" s="1"/>
  <c r="C12" i="111"/>
  <c r="D12" i="111" s="1"/>
  <c r="C13" i="111"/>
  <c r="C14" i="111"/>
  <c r="C15" i="111"/>
  <c r="C3" i="110"/>
  <c r="C4" i="110"/>
  <c r="C5" i="110"/>
  <c r="C6" i="110"/>
  <c r="D6" i="110" s="1"/>
  <c r="C7" i="110"/>
  <c r="C8" i="110"/>
  <c r="C9" i="110"/>
  <c r="C10" i="110"/>
  <c r="C11" i="110"/>
  <c r="D11" i="110" s="1"/>
  <c r="C12" i="110"/>
  <c r="D12" i="110" s="1"/>
  <c r="C13" i="110"/>
  <c r="C14" i="110"/>
  <c r="C15" i="110"/>
  <c r="C3" i="109"/>
  <c r="C4" i="109"/>
  <c r="C5" i="109"/>
  <c r="C6" i="109"/>
  <c r="D6" i="109" s="1"/>
  <c r="C7" i="109"/>
  <c r="C8" i="109"/>
  <c r="C9" i="109"/>
  <c r="C10" i="109"/>
  <c r="C11" i="109"/>
  <c r="D11" i="109" s="1"/>
  <c r="C12" i="109"/>
  <c r="D12" i="109" s="1"/>
  <c r="C13" i="109"/>
  <c r="C14" i="109"/>
  <c r="C15" i="109"/>
  <c r="C3" i="108"/>
  <c r="C4" i="108"/>
  <c r="C5" i="108"/>
  <c r="C6" i="108"/>
  <c r="D6" i="108" s="1"/>
  <c r="C7" i="108"/>
  <c r="C8" i="108"/>
  <c r="C9" i="108"/>
  <c r="C10" i="108"/>
  <c r="C11" i="108"/>
  <c r="D11" i="108" s="1"/>
  <c r="C12" i="108"/>
  <c r="D12" i="108" s="1"/>
  <c r="C13" i="108"/>
  <c r="C14" i="108"/>
  <c r="C15" i="108"/>
  <c r="C3" i="107"/>
  <c r="C4" i="107"/>
  <c r="C5" i="107"/>
  <c r="C6" i="107"/>
  <c r="D6" i="107" s="1"/>
  <c r="C7" i="107"/>
  <c r="C8" i="107"/>
  <c r="C9" i="107"/>
  <c r="C10" i="107"/>
  <c r="C11" i="107"/>
  <c r="D11" i="107" s="1"/>
  <c r="C12" i="107"/>
  <c r="D12" i="107" s="1"/>
  <c r="C13" i="107"/>
  <c r="C14" i="107"/>
  <c r="C15" i="107"/>
  <c r="C3" i="106"/>
  <c r="C4" i="106"/>
  <c r="C5" i="106"/>
  <c r="C6" i="106"/>
  <c r="D6" i="106" s="1"/>
  <c r="C7" i="106"/>
  <c r="C8" i="106"/>
  <c r="C9" i="106"/>
  <c r="C10" i="106"/>
  <c r="C11" i="106"/>
  <c r="D11" i="106" s="1"/>
  <c r="C12" i="106"/>
  <c r="D12" i="106" s="1"/>
  <c r="C13" i="106"/>
  <c r="C14" i="106"/>
  <c r="C15" i="106"/>
  <c r="C3" i="105"/>
  <c r="C4" i="105"/>
  <c r="C5" i="105"/>
  <c r="C6" i="105"/>
  <c r="D6" i="105" s="1"/>
  <c r="C7" i="105"/>
  <c r="C8" i="105"/>
  <c r="C9" i="105"/>
  <c r="C10" i="105"/>
  <c r="C11" i="105"/>
  <c r="D11" i="105" s="1"/>
  <c r="C12" i="105"/>
  <c r="D12" i="105" s="1"/>
  <c r="C13" i="105"/>
  <c r="C14" i="105"/>
  <c r="C15" i="105"/>
  <c r="C3" i="104"/>
  <c r="C4" i="104"/>
  <c r="C5" i="104"/>
  <c r="C6" i="104"/>
  <c r="D6" i="104" s="1"/>
  <c r="C7" i="104"/>
  <c r="C8" i="104"/>
  <c r="C9" i="104"/>
  <c r="C10" i="104"/>
  <c r="C11" i="104"/>
  <c r="D11" i="104" s="1"/>
  <c r="C12" i="104"/>
  <c r="D12" i="104" s="1"/>
  <c r="C13" i="104"/>
  <c r="C14" i="104"/>
  <c r="C15" i="104"/>
  <c r="C3" i="103"/>
  <c r="C4" i="103"/>
  <c r="C5" i="103"/>
  <c r="C6" i="103"/>
  <c r="D6" i="103" s="1"/>
  <c r="C7" i="103"/>
  <c r="C8" i="103"/>
  <c r="C9" i="103"/>
  <c r="C10" i="103"/>
  <c r="C11" i="103"/>
  <c r="D11" i="103" s="1"/>
  <c r="C12" i="103"/>
  <c r="D12" i="103" s="1"/>
  <c r="C13" i="103"/>
  <c r="C14" i="103"/>
  <c r="C15" i="103"/>
  <c r="C3" i="102"/>
  <c r="C4" i="102"/>
  <c r="C5" i="102"/>
  <c r="C6" i="102"/>
  <c r="D6" i="102" s="1"/>
  <c r="C7" i="102"/>
  <c r="C8" i="102"/>
  <c r="C9" i="102"/>
  <c r="C10" i="102"/>
  <c r="C11" i="102"/>
  <c r="D11" i="102" s="1"/>
  <c r="C12" i="102"/>
  <c r="D12" i="102" s="1"/>
  <c r="C13" i="102"/>
  <c r="C14" i="102"/>
  <c r="C15" i="102"/>
  <c r="C3" i="101"/>
  <c r="C4" i="101"/>
  <c r="C5" i="101"/>
  <c r="C6" i="101"/>
  <c r="D6" i="101" s="1"/>
  <c r="C7" i="101"/>
  <c r="C8" i="101"/>
  <c r="C9" i="101"/>
  <c r="C10" i="101"/>
  <c r="C11" i="101"/>
  <c r="D11" i="101" s="1"/>
  <c r="C12" i="101"/>
  <c r="D12" i="101" s="1"/>
  <c r="C13" i="101"/>
  <c r="C14" i="101"/>
  <c r="C15" i="101"/>
  <c r="C3" i="100"/>
  <c r="C4" i="100"/>
  <c r="C5" i="100"/>
  <c r="C6" i="100"/>
  <c r="D6" i="100" s="1"/>
  <c r="C7" i="100"/>
  <c r="C8" i="100"/>
  <c r="C9" i="100"/>
  <c r="C10" i="100"/>
  <c r="C11" i="100"/>
  <c r="D11" i="100" s="1"/>
  <c r="C12" i="100"/>
  <c r="D12" i="100" s="1"/>
  <c r="C13" i="100"/>
  <c r="C14" i="100"/>
  <c r="C15" i="100"/>
  <c r="D3" i="102" l="1"/>
  <c r="D3" i="101"/>
  <c r="D4" i="104"/>
  <c r="D3" i="105"/>
  <c r="D3" i="162"/>
  <c r="E3" i="125"/>
  <c r="F4" i="139"/>
  <c r="G4" i="136"/>
  <c r="E4" i="138"/>
  <c r="D4" i="111"/>
  <c r="D3" i="107"/>
  <c r="E3" i="131"/>
  <c r="E4" i="118"/>
  <c r="D3" i="116"/>
  <c r="D3" i="115"/>
  <c r="D3" i="128"/>
  <c r="F3" i="127"/>
  <c r="G4" i="133"/>
  <c r="E3" i="132"/>
  <c r="F4" i="126"/>
  <c r="E3" i="166"/>
  <c r="D3" i="112"/>
  <c r="J3" i="120"/>
  <c r="F3" i="130"/>
  <c r="D3" i="106"/>
  <c r="E3" i="118"/>
  <c r="D4" i="155"/>
  <c r="J4" i="120"/>
  <c r="F3" i="163"/>
  <c r="D3" i="100"/>
  <c r="D3" i="160"/>
  <c r="D4" i="124"/>
  <c r="D3" i="157"/>
  <c r="D3" i="168"/>
  <c r="D4" i="108"/>
  <c r="D3" i="110"/>
  <c r="J3" i="121"/>
  <c r="G3" i="133"/>
  <c r="E3" i="138"/>
  <c r="G4" i="141"/>
  <c r="E3" i="150"/>
  <c r="D4" i="154"/>
  <c r="D3" i="155"/>
  <c r="D4" i="169"/>
  <c r="D3" i="103"/>
  <c r="E4" i="129"/>
  <c r="E3" i="144"/>
  <c r="D3" i="147"/>
  <c r="E3" i="159"/>
  <c r="D4" i="162"/>
  <c r="B16" i="162" s="1"/>
  <c r="D4" i="107"/>
  <c r="B16" i="107" s="1"/>
  <c r="F3" i="123"/>
  <c r="F4" i="127"/>
  <c r="D3" i="148"/>
  <c r="F4" i="149"/>
  <c r="D4" i="153"/>
  <c r="D4" i="156"/>
  <c r="D4" i="157"/>
  <c r="B16" i="157" s="1"/>
  <c r="E4" i="159"/>
  <c r="F4" i="163"/>
  <c r="E4" i="165"/>
  <c r="D4" i="100"/>
  <c r="B16" i="100" s="1"/>
  <c r="E4" i="113"/>
  <c r="E3" i="117"/>
  <c r="E3" i="119"/>
  <c r="F3" i="140"/>
  <c r="D4" i="142"/>
  <c r="F3" i="143"/>
  <c r="F3" i="152"/>
  <c r="E3" i="164"/>
  <c r="D4" i="101"/>
  <c r="D3" i="104"/>
  <c r="D4" i="105"/>
  <c r="D3" i="124"/>
  <c r="E4" i="125"/>
  <c r="F3" i="126"/>
  <c r="F4" i="130"/>
  <c r="H3" i="151"/>
  <c r="E4" i="164"/>
  <c r="E4" i="166"/>
  <c r="F3" i="167"/>
  <c r="D4" i="102"/>
  <c r="D4" i="106"/>
  <c r="D4" i="109"/>
  <c r="D3" i="111"/>
  <c r="D4" i="112"/>
  <c r="D4" i="115"/>
  <c r="E3" i="122"/>
  <c r="E4" i="122"/>
  <c r="F4" i="123"/>
  <c r="E3" i="129"/>
  <c r="E4" i="131"/>
  <c r="E3" i="135"/>
  <c r="E4" i="135"/>
  <c r="G3" i="136"/>
  <c r="F3" i="139"/>
  <c r="G3" i="145"/>
  <c r="D4" i="148"/>
  <c r="E4" i="150"/>
  <c r="D3" i="153"/>
  <c r="D4" i="161"/>
  <c r="D4" i="168"/>
  <c r="D4" i="103"/>
  <c r="E3" i="113"/>
  <c r="D4" i="116"/>
  <c r="H3" i="137"/>
  <c r="F4" i="140"/>
  <c r="D3" i="146"/>
  <c r="D4" i="147"/>
  <c r="F3" i="149"/>
  <c r="H4" i="151"/>
  <c r="F4" i="152"/>
  <c r="D3" i="154"/>
  <c r="F3" i="158"/>
  <c r="F4" i="158"/>
  <c r="D4" i="160"/>
  <c r="F4" i="167"/>
  <c r="D3" i="108"/>
  <c r="B16" i="108" s="1"/>
  <c r="D3" i="109"/>
  <c r="D4" i="110"/>
  <c r="E4" i="117"/>
  <c r="E4" i="119"/>
  <c r="D4" i="128"/>
  <c r="E4" i="132"/>
  <c r="G3" i="141"/>
  <c r="D3" i="142"/>
  <c r="F4" i="143"/>
  <c r="E4" i="144"/>
  <c r="G4" i="145"/>
  <c r="D4" i="146"/>
  <c r="D3" i="156"/>
  <c r="B16" i="156" s="1"/>
  <c r="D3" i="161"/>
  <c r="E3" i="165"/>
  <c r="H4" i="137"/>
  <c r="D3" i="169"/>
  <c r="F4" i="134"/>
  <c r="F3" i="134"/>
  <c r="E3" i="114"/>
  <c r="E4" i="114"/>
  <c r="B16" i="103"/>
  <c r="C3" i="99"/>
  <c r="C4" i="99"/>
  <c r="C5" i="99"/>
  <c r="C6" i="99"/>
  <c r="D6" i="99" s="1"/>
  <c r="C7" i="99"/>
  <c r="C8" i="99"/>
  <c r="C9" i="99"/>
  <c r="C10" i="99"/>
  <c r="C11" i="99"/>
  <c r="D11" i="99" s="1"/>
  <c r="C12" i="99"/>
  <c r="D12" i="99" s="1"/>
  <c r="C13" i="99"/>
  <c r="C14" i="99"/>
  <c r="C15" i="99"/>
  <c r="C3" i="98"/>
  <c r="C4" i="98"/>
  <c r="C5" i="98"/>
  <c r="C6" i="98"/>
  <c r="D6" i="98" s="1"/>
  <c r="C7" i="98"/>
  <c r="C8" i="98"/>
  <c r="C9" i="98"/>
  <c r="C10" i="98"/>
  <c r="C11" i="98"/>
  <c r="D11" i="98" s="1"/>
  <c r="C12" i="98"/>
  <c r="D12" i="98" s="1"/>
  <c r="C13" i="98"/>
  <c r="C14" i="98"/>
  <c r="C15" i="98"/>
  <c r="C3" i="97"/>
  <c r="C4" i="97"/>
  <c r="C5" i="97"/>
  <c r="C6" i="97"/>
  <c r="D6" i="97" s="1"/>
  <c r="C7" i="97"/>
  <c r="C8" i="97"/>
  <c r="C9" i="97"/>
  <c r="C10" i="97"/>
  <c r="C11" i="97"/>
  <c r="D11" i="97" s="1"/>
  <c r="C12" i="97"/>
  <c r="D12" i="97" s="1"/>
  <c r="C13" i="97"/>
  <c r="C14" i="97"/>
  <c r="C15" i="97"/>
  <c r="C3" i="96"/>
  <c r="C4" i="96"/>
  <c r="C5" i="96"/>
  <c r="C6" i="96"/>
  <c r="D6" i="96" s="1"/>
  <c r="C7" i="96"/>
  <c r="C8" i="96"/>
  <c r="C9" i="96"/>
  <c r="C10" i="96"/>
  <c r="C11" i="96"/>
  <c r="D11" i="96" s="1"/>
  <c r="C12" i="96"/>
  <c r="D12" i="96" s="1"/>
  <c r="C13" i="96"/>
  <c r="C14" i="96"/>
  <c r="C15" i="96"/>
  <c r="C3" i="95"/>
  <c r="C4" i="95"/>
  <c r="C5" i="95"/>
  <c r="C6" i="95"/>
  <c r="D6" i="95" s="1"/>
  <c r="C7" i="95"/>
  <c r="C8" i="95"/>
  <c r="C9" i="95"/>
  <c r="C10" i="95"/>
  <c r="C11" i="95"/>
  <c r="D11" i="95" s="1"/>
  <c r="C12" i="95"/>
  <c r="D12" i="95" s="1"/>
  <c r="C13" i="95"/>
  <c r="C14" i="95"/>
  <c r="C15" i="95"/>
  <c r="C3" i="94"/>
  <c r="C4" i="94"/>
  <c r="C5" i="94"/>
  <c r="C6" i="94"/>
  <c r="D6" i="94" s="1"/>
  <c r="C7" i="94"/>
  <c r="C8" i="94"/>
  <c r="C9" i="94"/>
  <c r="C10" i="94"/>
  <c r="C11" i="94"/>
  <c r="D11" i="94" s="1"/>
  <c r="C12" i="94"/>
  <c r="D12" i="94" s="1"/>
  <c r="C13" i="94"/>
  <c r="C14" i="94"/>
  <c r="C15" i="94"/>
  <c r="C3" i="93"/>
  <c r="C4" i="93"/>
  <c r="C5" i="93"/>
  <c r="C6" i="93"/>
  <c r="D6" i="93" s="1"/>
  <c r="C7" i="93"/>
  <c r="C8" i="93"/>
  <c r="C9" i="93"/>
  <c r="C10" i="93"/>
  <c r="C11" i="93"/>
  <c r="D11" i="93" s="1"/>
  <c r="C12" i="93"/>
  <c r="D12" i="93" s="1"/>
  <c r="C13" i="93"/>
  <c r="C14" i="93"/>
  <c r="C3" i="92"/>
  <c r="C4" i="92"/>
  <c r="C5" i="92"/>
  <c r="C6" i="92"/>
  <c r="D6" i="92" s="1"/>
  <c r="C7" i="92"/>
  <c r="C8" i="92"/>
  <c r="C9" i="92"/>
  <c r="C10" i="92"/>
  <c r="C11" i="92"/>
  <c r="D11" i="92" s="1"/>
  <c r="C12" i="92"/>
  <c r="D12" i="92" s="1"/>
  <c r="C13" i="92"/>
  <c r="C14" i="92"/>
  <c r="C15" i="92"/>
  <c r="C3" i="91"/>
  <c r="C4" i="91"/>
  <c r="C5" i="91"/>
  <c r="C6" i="91"/>
  <c r="D6" i="91" s="1"/>
  <c r="C7" i="91"/>
  <c r="C8" i="91"/>
  <c r="C9" i="91"/>
  <c r="C10" i="91"/>
  <c r="C11" i="91"/>
  <c r="D11" i="91" s="1"/>
  <c r="C12" i="91"/>
  <c r="D12" i="91" s="1"/>
  <c r="C13" i="91"/>
  <c r="C14" i="91"/>
  <c r="C15" i="91"/>
  <c r="C3" i="90"/>
  <c r="C4" i="90"/>
  <c r="C5" i="90"/>
  <c r="C6" i="90"/>
  <c r="D6" i="90" s="1"/>
  <c r="C7" i="90"/>
  <c r="C8" i="90"/>
  <c r="C9" i="90"/>
  <c r="C10" i="90"/>
  <c r="C11" i="90"/>
  <c r="D11" i="90" s="1"/>
  <c r="C12" i="90"/>
  <c r="D12" i="90" s="1"/>
  <c r="C13" i="90"/>
  <c r="C14" i="90"/>
  <c r="C15" i="90"/>
  <c r="C3" i="89"/>
  <c r="C4" i="89"/>
  <c r="C5" i="89"/>
  <c r="C6" i="89"/>
  <c r="D6" i="89" s="1"/>
  <c r="C7" i="89"/>
  <c r="C8" i="89"/>
  <c r="C9" i="89"/>
  <c r="C10" i="89"/>
  <c r="C11" i="89"/>
  <c r="D11" i="89" s="1"/>
  <c r="C12" i="89"/>
  <c r="D12" i="89" s="1"/>
  <c r="C13" i="89"/>
  <c r="C14" i="89"/>
  <c r="C15" i="89"/>
  <c r="C3" i="88"/>
  <c r="C4" i="88"/>
  <c r="C5" i="88"/>
  <c r="C6" i="88"/>
  <c r="D6" i="88" s="1"/>
  <c r="C7" i="88"/>
  <c r="C8" i="88"/>
  <c r="C9" i="88"/>
  <c r="C10" i="88"/>
  <c r="C11" i="88"/>
  <c r="D11" i="88" s="1"/>
  <c r="C12" i="88"/>
  <c r="D12" i="88" s="1"/>
  <c r="C13" i="88"/>
  <c r="C14" i="88"/>
  <c r="C15" i="88"/>
  <c r="C3" i="87"/>
  <c r="C4" i="87"/>
  <c r="C5" i="87"/>
  <c r="C6" i="87"/>
  <c r="D6" i="87" s="1"/>
  <c r="C7" i="87"/>
  <c r="C8" i="87"/>
  <c r="C9" i="87"/>
  <c r="C10" i="87"/>
  <c r="C11" i="87"/>
  <c r="D11" i="87" s="1"/>
  <c r="C12" i="87"/>
  <c r="D12" i="87" s="1"/>
  <c r="C13" i="87"/>
  <c r="C14" i="87"/>
  <c r="C15" i="87"/>
  <c r="C3" i="86"/>
  <c r="C4" i="86"/>
  <c r="C5" i="86"/>
  <c r="C6" i="86"/>
  <c r="D6" i="86" s="1"/>
  <c r="C7" i="86"/>
  <c r="C8" i="86"/>
  <c r="C9" i="86"/>
  <c r="C10" i="86"/>
  <c r="C11" i="86"/>
  <c r="D11" i="86" s="1"/>
  <c r="C12" i="86"/>
  <c r="D12" i="86" s="1"/>
  <c r="C13" i="86"/>
  <c r="C14" i="86"/>
  <c r="C15" i="86"/>
  <c r="C3" i="85"/>
  <c r="C4" i="85"/>
  <c r="C5" i="85"/>
  <c r="C6" i="85"/>
  <c r="D6" i="85" s="1"/>
  <c r="C7" i="85"/>
  <c r="C8" i="85"/>
  <c r="C9" i="85"/>
  <c r="C10" i="85"/>
  <c r="C11" i="85"/>
  <c r="D11" i="85" s="1"/>
  <c r="C12" i="85"/>
  <c r="D12" i="85" s="1"/>
  <c r="C13" i="85"/>
  <c r="C14" i="85"/>
  <c r="C15" i="85"/>
  <c r="C3" i="84"/>
  <c r="C4" i="84"/>
  <c r="C5" i="84"/>
  <c r="C6" i="84"/>
  <c r="D6" i="84" s="1"/>
  <c r="C7" i="84"/>
  <c r="C8" i="84"/>
  <c r="C9" i="84"/>
  <c r="C10" i="84"/>
  <c r="C11" i="84"/>
  <c r="D11" i="84" s="1"/>
  <c r="C12" i="84"/>
  <c r="D12" i="84" s="1"/>
  <c r="C13" i="84"/>
  <c r="C14" i="84"/>
  <c r="C15" i="84"/>
  <c r="D3" i="83"/>
  <c r="D4" i="83"/>
  <c r="D5" i="83"/>
  <c r="D6" i="83"/>
  <c r="E6" i="83" s="1"/>
  <c r="D7" i="83"/>
  <c r="D8" i="83"/>
  <c r="D9" i="83"/>
  <c r="D10" i="83"/>
  <c r="D11" i="83"/>
  <c r="E11" i="83" s="1"/>
  <c r="D12" i="83"/>
  <c r="E12" i="83" s="1"/>
  <c r="D13" i="83"/>
  <c r="D14" i="83"/>
  <c r="D15" i="83"/>
  <c r="C3" i="82"/>
  <c r="C4" i="82"/>
  <c r="C5" i="82"/>
  <c r="C6" i="82"/>
  <c r="D6" i="82" s="1"/>
  <c r="C7" i="82"/>
  <c r="C8" i="82"/>
  <c r="C9" i="82"/>
  <c r="C10" i="82"/>
  <c r="C11" i="82"/>
  <c r="D11" i="82" s="1"/>
  <c r="C12" i="82"/>
  <c r="D12" i="82" s="1"/>
  <c r="C13" i="82"/>
  <c r="C14" i="82"/>
  <c r="C15" i="82"/>
  <c r="C3" i="81"/>
  <c r="C4" i="81"/>
  <c r="C5" i="81"/>
  <c r="C6" i="81"/>
  <c r="D6" i="81" s="1"/>
  <c r="C7" i="81"/>
  <c r="C8" i="81"/>
  <c r="C9" i="81"/>
  <c r="C10" i="81"/>
  <c r="C11" i="81"/>
  <c r="D11" i="81" s="1"/>
  <c r="C12" i="81"/>
  <c r="D12" i="81" s="1"/>
  <c r="C13" i="81"/>
  <c r="C14" i="81"/>
  <c r="C15" i="81"/>
  <c r="C3" i="80"/>
  <c r="C4" i="80"/>
  <c r="C5" i="80"/>
  <c r="C6" i="80"/>
  <c r="D6" i="80" s="1"/>
  <c r="C7" i="80"/>
  <c r="C8" i="80"/>
  <c r="C9" i="80"/>
  <c r="C10" i="80"/>
  <c r="C11" i="80"/>
  <c r="D11" i="80" s="1"/>
  <c r="C12" i="80"/>
  <c r="D12" i="80" s="1"/>
  <c r="C13" i="80"/>
  <c r="C14" i="80"/>
  <c r="C15" i="80"/>
  <c r="C3" i="79"/>
  <c r="C4" i="79"/>
  <c r="C5" i="79"/>
  <c r="C6" i="79"/>
  <c r="D6" i="79" s="1"/>
  <c r="C7" i="79"/>
  <c r="C8" i="79"/>
  <c r="C9" i="79"/>
  <c r="C10" i="79"/>
  <c r="C11" i="79"/>
  <c r="D11" i="79" s="1"/>
  <c r="C12" i="79"/>
  <c r="D12" i="79" s="1"/>
  <c r="C13" i="79"/>
  <c r="C14" i="79"/>
  <c r="C15" i="79"/>
  <c r="C3" i="78"/>
  <c r="C4" i="78"/>
  <c r="C5" i="78"/>
  <c r="C6" i="78"/>
  <c r="D6" i="78" s="1"/>
  <c r="C7" i="78"/>
  <c r="C8" i="78"/>
  <c r="C9" i="78"/>
  <c r="C10" i="78"/>
  <c r="C11" i="78"/>
  <c r="D11" i="78" s="1"/>
  <c r="C12" i="78"/>
  <c r="D12" i="78" s="1"/>
  <c r="C13" i="78"/>
  <c r="C14" i="78"/>
  <c r="C15" i="78"/>
  <c r="C3" i="77"/>
  <c r="C4" i="77"/>
  <c r="C5" i="77"/>
  <c r="C6" i="77"/>
  <c r="D6" i="77" s="1"/>
  <c r="C7" i="77"/>
  <c r="C8" i="77"/>
  <c r="C9" i="77"/>
  <c r="C10" i="77"/>
  <c r="C11" i="77"/>
  <c r="D11" i="77" s="1"/>
  <c r="C12" i="77"/>
  <c r="D12" i="77" s="1"/>
  <c r="C13" i="77"/>
  <c r="C14" i="77"/>
  <c r="C15" i="77"/>
  <c r="C3" i="76"/>
  <c r="C4" i="76"/>
  <c r="C5" i="76"/>
  <c r="C6" i="76"/>
  <c r="D6" i="76" s="1"/>
  <c r="C7" i="76"/>
  <c r="C8" i="76"/>
  <c r="C9" i="76"/>
  <c r="C10" i="76"/>
  <c r="C11" i="76"/>
  <c r="D11" i="76" s="1"/>
  <c r="C12" i="76"/>
  <c r="D12" i="76" s="1"/>
  <c r="C13" i="76"/>
  <c r="C14" i="76"/>
  <c r="C15" i="76"/>
  <c r="C3" i="75"/>
  <c r="C4" i="75"/>
  <c r="C5" i="75"/>
  <c r="C6" i="75"/>
  <c r="D6" i="75" s="1"/>
  <c r="C7" i="75"/>
  <c r="C8" i="75"/>
  <c r="C9" i="75"/>
  <c r="C10" i="75"/>
  <c r="C11" i="75"/>
  <c r="D11" i="75" s="1"/>
  <c r="C12" i="75"/>
  <c r="D12" i="75" s="1"/>
  <c r="C13" i="75"/>
  <c r="C14" i="75"/>
  <c r="C15" i="75"/>
  <c r="C3" i="74"/>
  <c r="C4" i="74"/>
  <c r="C5" i="74"/>
  <c r="C6" i="74"/>
  <c r="D6" i="74" s="1"/>
  <c r="C7" i="74"/>
  <c r="C8" i="74"/>
  <c r="C9" i="74"/>
  <c r="C10" i="74"/>
  <c r="C11" i="74"/>
  <c r="D11" i="74" s="1"/>
  <c r="C12" i="74"/>
  <c r="D12" i="74" s="1"/>
  <c r="C13" i="74"/>
  <c r="C14" i="74"/>
  <c r="C15" i="74"/>
  <c r="C3" i="73"/>
  <c r="C4" i="73"/>
  <c r="C5" i="73"/>
  <c r="C6" i="73"/>
  <c r="D6" i="73" s="1"/>
  <c r="C7" i="73"/>
  <c r="C8" i="73"/>
  <c r="C9" i="73"/>
  <c r="C10" i="73"/>
  <c r="C11" i="73"/>
  <c r="D11" i="73" s="1"/>
  <c r="C12" i="73"/>
  <c r="D12" i="73" s="1"/>
  <c r="C13" i="73"/>
  <c r="C14" i="73"/>
  <c r="C15" i="73"/>
  <c r="C3" i="72"/>
  <c r="C4" i="72"/>
  <c r="C5" i="72"/>
  <c r="C6" i="72"/>
  <c r="D6" i="72" s="1"/>
  <c r="C7" i="72"/>
  <c r="C8" i="72"/>
  <c r="C9" i="72"/>
  <c r="C10" i="72"/>
  <c r="C11" i="72"/>
  <c r="D11" i="72" s="1"/>
  <c r="C12" i="72"/>
  <c r="D12" i="72" s="1"/>
  <c r="C13" i="72"/>
  <c r="C14" i="72"/>
  <c r="C15" i="72"/>
  <c r="C3" i="71"/>
  <c r="C4" i="71"/>
  <c r="C5" i="71"/>
  <c r="C6" i="71"/>
  <c r="D6" i="71" s="1"/>
  <c r="C7" i="71"/>
  <c r="C8" i="71"/>
  <c r="C9" i="71"/>
  <c r="C10" i="71"/>
  <c r="C11" i="71"/>
  <c r="D11" i="71" s="1"/>
  <c r="C12" i="71"/>
  <c r="D12" i="71" s="1"/>
  <c r="C13" i="71"/>
  <c r="C14" i="71"/>
  <c r="C15" i="71"/>
  <c r="C3" i="70"/>
  <c r="C4" i="70"/>
  <c r="C5" i="70"/>
  <c r="C6" i="70"/>
  <c r="D6" i="70" s="1"/>
  <c r="C7" i="70"/>
  <c r="C8" i="70"/>
  <c r="C9" i="70"/>
  <c r="C10" i="70"/>
  <c r="C11" i="70"/>
  <c r="D11" i="70" s="1"/>
  <c r="C12" i="70"/>
  <c r="D12" i="70" s="1"/>
  <c r="C13" i="70"/>
  <c r="C14" i="70"/>
  <c r="C15" i="70"/>
  <c r="C3" i="69"/>
  <c r="C4" i="69"/>
  <c r="C5" i="69"/>
  <c r="C6" i="69"/>
  <c r="D6" i="69" s="1"/>
  <c r="C7" i="69"/>
  <c r="C8" i="69"/>
  <c r="C9" i="69"/>
  <c r="C10" i="69"/>
  <c r="C11" i="69"/>
  <c r="D11" i="69" s="1"/>
  <c r="C12" i="69"/>
  <c r="D12" i="69" s="1"/>
  <c r="C13" i="69"/>
  <c r="C14" i="69"/>
  <c r="C15" i="69"/>
  <c r="C3" i="68"/>
  <c r="C4" i="68"/>
  <c r="C5" i="68"/>
  <c r="C6" i="68"/>
  <c r="D6" i="68" s="1"/>
  <c r="C7" i="68"/>
  <c r="C8" i="68"/>
  <c r="C9" i="68"/>
  <c r="C10" i="68"/>
  <c r="C11" i="68"/>
  <c r="D11" i="68" s="1"/>
  <c r="C12" i="68"/>
  <c r="D12" i="68" s="1"/>
  <c r="C13" i="68"/>
  <c r="C14" i="68"/>
  <c r="C15" i="68"/>
  <c r="C3" i="67"/>
  <c r="C4" i="67"/>
  <c r="C5" i="67"/>
  <c r="C6" i="67"/>
  <c r="D6" i="67" s="1"/>
  <c r="C7" i="67"/>
  <c r="C8" i="67"/>
  <c r="C9" i="67"/>
  <c r="C10" i="67"/>
  <c r="C11" i="67"/>
  <c r="D11" i="67" s="1"/>
  <c r="C12" i="67"/>
  <c r="D12" i="67" s="1"/>
  <c r="C13" i="67"/>
  <c r="C14" i="67"/>
  <c r="C15" i="67"/>
  <c r="C3" i="66"/>
  <c r="C4" i="66"/>
  <c r="C5" i="66"/>
  <c r="C6" i="66"/>
  <c r="D6" i="66" s="1"/>
  <c r="C7" i="66"/>
  <c r="C8" i="66"/>
  <c r="C9" i="66"/>
  <c r="C10" i="66"/>
  <c r="C11" i="66"/>
  <c r="D11" i="66" s="1"/>
  <c r="C12" i="66"/>
  <c r="D12" i="66" s="1"/>
  <c r="C13" i="66"/>
  <c r="C14" i="66"/>
  <c r="C15" i="66"/>
  <c r="C3" i="65"/>
  <c r="C4" i="65"/>
  <c r="C5" i="65"/>
  <c r="C6" i="65"/>
  <c r="D6" i="65" s="1"/>
  <c r="C7" i="65"/>
  <c r="C8" i="65"/>
  <c r="C9" i="65"/>
  <c r="C10" i="65"/>
  <c r="C11" i="65"/>
  <c r="D11" i="65" s="1"/>
  <c r="C12" i="65"/>
  <c r="D12" i="65" s="1"/>
  <c r="C13" i="65"/>
  <c r="C14" i="65"/>
  <c r="C15" i="65"/>
  <c r="C3" i="64"/>
  <c r="C4" i="64"/>
  <c r="C5" i="64"/>
  <c r="C6" i="64"/>
  <c r="D6" i="64" s="1"/>
  <c r="C7" i="64"/>
  <c r="C8" i="64"/>
  <c r="C9" i="64"/>
  <c r="C10" i="64"/>
  <c r="C11" i="64"/>
  <c r="D11" i="64" s="1"/>
  <c r="C12" i="64"/>
  <c r="D12" i="64" s="1"/>
  <c r="C13" i="64"/>
  <c r="C14" i="64"/>
  <c r="C15" i="64"/>
  <c r="C3" i="63"/>
  <c r="C4" i="63"/>
  <c r="C5" i="63"/>
  <c r="C6" i="63"/>
  <c r="D6" i="63" s="1"/>
  <c r="C7" i="63"/>
  <c r="C8" i="63"/>
  <c r="C9" i="63"/>
  <c r="C10" i="63"/>
  <c r="C11" i="63"/>
  <c r="D11" i="63" s="1"/>
  <c r="C12" i="63"/>
  <c r="D12" i="63" s="1"/>
  <c r="C13" i="63"/>
  <c r="C14" i="63"/>
  <c r="C15" i="63"/>
  <c r="C3" i="62"/>
  <c r="C4" i="62"/>
  <c r="C5" i="62"/>
  <c r="C6" i="62"/>
  <c r="D6" i="62" s="1"/>
  <c r="C7" i="62"/>
  <c r="C8" i="62"/>
  <c r="C9" i="62"/>
  <c r="C10" i="62"/>
  <c r="C11" i="62"/>
  <c r="D11" i="62" s="1"/>
  <c r="C12" i="62"/>
  <c r="D12" i="62" s="1"/>
  <c r="C13" i="62"/>
  <c r="C14" i="62"/>
  <c r="C15" i="62"/>
  <c r="C3" i="61"/>
  <c r="C4" i="61"/>
  <c r="C5" i="61"/>
  <c r="C6" i="61"/>
  <c r="D6" i="61" s="1"/>
  <c r="C7" i="61"/>
  <c r="C8" i="61"/>
  <c r="C9" i="61"/>
  <c r="C10" i="61"/>
  <c r="C11" i="61"/>
  <c r="D11" i="61" s="1"/>
  <c r="C12" i="61"/>
  <c r="D12" i="61" s="1"/>
  <c r="C13" i="61"/>
  <c r="C14" i="61"/>
  <c r="C15" i="61"/>
  <c r="C3" i="60"/>
  <c r="C4" i="60"/>
  <c r="C5" i="60"/>
  <c r="C6" i="60"/>
  <c r="D6" i="60" s="1"/>
  <c r="C7" i="60"/>
  <c r="C8" i="60"/>
  <c r="C9" i="60"/>
  <c r="C10" i="60"/>
  <c r="C11" i="60"/>
  <c r="D11" i="60" s="1"/>
  <c r="C12" i="60"/>
  <c r="D12" i="60" s="1"/>
  <c r="C13" i="60"/>
  <c r="C14" i="60"/>
  <c r="C15" i="60"/>
  <c r="C3" i="59"/>
  <c r="C4" i="59"/>
  <c r="C5" i="59"/>
  <c r="C6" i="59"/>
  <c r="D6" i="59" s="1"/>
  <c r="C7" i="59"/>
  <c r="C8" i="59"/>
  <c r="C9" i="59"/>
  <c r="C10" i="59"/>
  <c r="C11" i="59"/>
  <c r="D11" i="59" s="1"/>
  <c r="C12" i="59"/>
  <c r="D12" i="59" s="1"/>
  <c r="C13" i="59"/>
  <c r="C14" i="59"/>
  <c r="C15" i="59"/>
  <c r="C3" i="58"/>
  <c r="C4" i="58"/>
  <c r="C5" i="58"/>
  <c r="C6" i="58"/>
  <c r="D6" i="58" s="1"/>
  <c r="C7" i="58"/>
  <c r="C8" i="58"/>
  <c r="C9" i="58"/>
  <c r="C10" i="58"/>
  <c r="C11" i="58"/>
  <c r="D11" i="58" s="1"/>
  <c r="C12" i="58"/>
  <c r="D12" i="58" s="1"/>
  <c r="C13" i="58"/>
  <c r="C14" i="58"/>
  <c r="C15" i="58"/>
  <c r="C3" i="57"/>
  <c r="C4" i="57"/>
  <c r="C5" i="57"/>
  <c r="C6" i="57"/>
  <c r="D6" i="57" s="1"/>
  <c r="C7" i="57"/>
  <c r="C8" i="57"/>
  <c r="C9" i="57"/>
  <c r="C10" i="57"/>
  <c r="C11" i="57"/>
  <c r="D11" i="57" s="1"/>
  <c r="C12" i="57"/>
  <c r="D12" i="57" s="1"/>
  <c r="C13" i="57"/>
  <c r="C14" i="57"/>
  <c r="C15" i="57"/>
  <c r="C3" i="56"/>
  <c r="C4" i="56"/>
  <c r="C5" i="56"/>
  <c r="C6" i="56"/>
  <c r="D6" i="56" s="1"/>
  <c r="C7" i="56"/>
  <c r="C8" i="56"/>
  <c r="C9" i="56"/>
  <c r="C10" i="56"/>
  <c r="C11" i="56"/>
  <c r="D11" i="56" s="1"/>
  <c r="C12" i="56"/>
  <c r="D12" i="56" s="1"/>
  <c r="C13" i="56"/>
  <c r="C14" i="56"/>
  <c r="C15" i="56"/>
  <c r="C3" i="55"/>
  <c r="C4" i="55"/>
  <c r="C5" i="55"/>
  <c r="C6" i="55"/>
  <c r="D6" i="55" s="1"/>
  <c r="C7" i="55"/>
  <c r="C8" i="55"/>
  <c r="C9" i="55"/>
  <c r="C10" i="55"/>
  <c r="C11" i="55"/>
  <c r="D11" i="55" s="1"/>
  <c r="C12" i="55"/>
  <c r="D12" i="55" s="1"/>
  <c r="C13" i="55"/>
  <c r="C14" i="55"/>
  <c r="C15" i="55"/>
  <c r="C3" i="54"/>
  <c r="C4" i="54"/>
  <c r="C5" i="54"/>
  <c r="C6" i="54"/>
  <c r="D6" i="54" s="1"/>
  <c r="C7" i="54"/>
  <c r="C8" i="54"/>
  <c r="C9" i="54"/>
  <c r="C10" i="54"/>
  <c r="C11" i="54"/>
  <c r="D11" i="54" s="1"/>
  <c r="C12" i="54"/>
  <c r="D12" i="54" s="1"/>
  <c r="C13" i="54"/>
  <c r="C14" i="54"/>
  <c r="C15" i="54"/>
  <c r="C3" i="53"/>
  <c r="C4" i="53"/>
  <c r="C5" i="53"/>
  <c r="C6" i="53"/>
  <c r="D6" i="53" s="1"/>
  <c r="C7" i="53"/>
  <c r="C8" i="53"/>
  <c r="C9" i="53"/>
  <c r="C10" i="53"/>
  <c r="C11" i="53"/>
  <c r="D11" i="53" s="1"/>
  <c r="C12" i="53"/>
  <c r="D12" i="53" s="1"/>
  <c r="C13" i="53"/>
  <c r="C14" i="53"/>
  <c r="C15" i="53"/>
  <c r="C3" i="52"/>
  <c r="C4" i="52"/>
  <c r="C5" i="52"/>
  <c r="C6" i="52"/>
  <c r="D6" i="52" s="1"/>
  <c r="C7" i="52"/>
  <c r="C8" i="52"/>
  <c r="C9" i="52"/>
  <c r="C10" i="52"/>
  <c r="C11" i="52"/>
  <c r="D11" i="52" s="1"/>
  <c r="C12" i="52"/>
  <c r="D12" i="52" s="1"/>
  <c r="C13" i="52"/>
  <c r="C14" i="52"/>
  <c r="C15" i="52"/>
  <c r="C3" i="51"/>
  <c r="C4" i="51"/>
  <c r="C5" i="51"/>
  <c r="C6" i="51"/>
  <c r="D6" i="51" s="1"/>
  <c r="C7" i="51"/>
  <c r="C8" i="51"/>
  <c r="C9" i="51"/>
  <c r="C10" i="51"/>
  <c r="C11" i="51"/>
  <c r="D11" i="51" s="1"/>
  <c r="C12" i="51"/>
  <c r="D12" i="51" s="1"/>
  <c r="C13" i="51"/>
  <c r="C14" i="51"/>
  <c r="C15" i="51"/>
  <c r="C3" i="50"/>
  <c r="C4" i="50"/>
  <c r="C5" i="50"/>
  <c r="C6" i="50"/>
  <c r="D6" i="50" s="1"/>
  <c r="C7" i="50"/>
  <c r="C8" i="50"/>
  <c r="C9" i="50"/>
  <c r="C10" i="50"/>
  <c r="C11" i="50"/>
  <c r="D11" i="50" s="1"/>
  <c r="C12" i="50"/>
  <c r="D12" i="50" s="1"/>
  <c r="C13" i="50"/>
  <c r="C14" i="50"/>
  <c r="C15" i="50"/>
  <c r="C3" i="49"/>
  <c r="C4" i="49"/>
  <c r="C5" i="49"/>
  <c r="C6" i="49"/>
  <c r="D6" i="49" s="1"/>
  <c r="C7" i="49"/>
  <c r="C8" i="49"/>
  <c r="C9" i="49"/>
  <c r="C10" i="49"/>
  <c r="C11" i="49"/>
  <c r="D11" i="49" s="1"/>
  <c r="C12" i="49"/>
  <c r="D12" i="49" s="1"/>
  <c r="C13" i="49"/>
  <c r="C14" i="49"/>
  <c r="C15" i="49"/>
  <c r="C3" i="48"/>
  <c r="C4" i="48"/>
  <c r="C5" i="48"/>
  <c r="C6" i="48"/>
  <c r="D6" i="48" s="1"/>
  <c r="C7" i="48"/>
  <c r="C8" i="48"/>
  <c r="C9" i="48"/>
  <c r="C10" i="48"/>
  <c r="C11" i="48"/>
  <c r="D11" i="48" s="1"/>
  <c r="C12" i="48"/>
  <c r="D12" i="48" s="1"/>
  <c r="C13" i="48"/>
  <c r="C14" i="48"/>
  <c r="C15" i="48"/>
  <c r="C3" i="47"/>
  <c r="C4" i="47"/>
  <c r="C5" i="47"/>
  <c r="C6" i="47"/>
  <c r="D6" i="47" s="1"/>
  <c r="C7" i="47"/>
  <c r="C8" i="47"/>
  <c r="C9" i="47"/>
  <c r="C10" i="47"/>
  <c r="C11" i="47"/>
  <c r="D11" i="47" s="1"/>
  <c r="C12" i="47"/>
  <c r="D12" i="47" s="1"/>
  <c r="C13" i="47"/>
  <c r="C14" i="47"/>
  <c r="C15" i="47"/>
  <c r="C3" i="46"/>
  <c r="C4" i="46"/>
  <c r="C5" i="46"/>
  <c r="C6" i="46"/>
  <c r="D6" i="46" s="1"/>
  <c r="C7" i="46"/>
  <c r="C8" i="46"/>
  <c r="C9" i="46"/>
  <c r="C10" i="46"/>
  <c r="C11" i="46"/>
  <c r="D11" i="46" s="1"/>
  <c r="C12" i="46"/>
  <c r="D12" i="46" s="1"/>
  <c r="C13" i="46"/>
  <c r="C14" i="46"/>
  <c r="C15" i="46"/>
  <c r="C3" i="45"/>
  <c r="C4" i="45"/>
  <c r="C5" i="45"/>
  <c r="C6" i="45"/>
  <c r="D6" i="45" s="1"/>
  <c r="C7" i="45"/>
  <c r="C8" i="45"/>
  <c r="C9" i="45"/>
  <c r="C10" i="45"/>
  <c r="C11" i="45"/>
  <c r="D11" i="45" s="1"/>
  <c r="C12" i="45"/>
  <c r="D12" i="45" s="1"/>
  <c r="C13" i="45"/>
  <c r="C14" i="45"/>
  <c r="C15" i="45"/>
  <c r="C3" i="44"/>
  <c r="C4" i="44"/>
  <c r="C5" i="44"/>
  <c r="C6" i="44"/>
  <c r="D6" i="44" s="1"/>
  <c r="C7" i="44"/>
  <c r="C8" i="44"/>
  <c r="C9" i="44"/>
  <c r="C10" i="44"/>
  <c r="C11" i="44"/>
  <c r="D11" i="44" s="1"/>
  <c r="C12" i="44"/>
  <c r="D12" i="44" s="1"/>
  <c r="C13" i="44"/>
  <c r="C14" i="44"/>
  <c r="C15" i="44"/>
  <c r="C3" i="43"/>
  <c r="C4" i="43"/>
  <c r="C5" i="43"/>
  <c r="C6" i="43"/>
  <c r="D6" i="43" s="1"/>
  <c r="C7" i="43"/>
  <c r="C8" i="43"/>
  <c r="C9" i="43"/>
  <c r="C10" i="43"/>
  <c r="C11" i="43"/>
  <c r="D11" i="43" s="1"/>
  <c r="C12" i="43"/>
  <c r="D12" i="43" s="1"/>
  <c r="C13" i="43"/>
  <c r="C14" i="43"/>
  <c r="C15" i="43"/>
  <c r="C3" i="42"/>
  <c r="C4" i="42"/>
  <c r="C5" i="42"/>
  <c r="C6" i="42"/>
  <c r="D6" i="42" s="1"/>
  <c r="C7" i="42"/>
  <c r="C8" i="42"/>
  <c r="C9" i="42"/>
  <c r="C10" i="42"/>
  <c r="C11" i="42"/>
  <c r="D11" i="42" s="1"/>
  <c r="C12" i="42"/>
  <c r="D12" i="42" s="1"/>
  <c r="C13" i="42"/>
  <c r="C14" i="42"/>
  <c r="C15" i="42"/>
  <c r="C3" i="41"/>
  <c r="C4" i="41"/>
  <c r="C5" i="41"/>
  <c r="C6" i="41"/>
  <c r="D6" i="41" s="1"/>
  <c r="C7" i="41"/>
  <c r="C8" i="41"/>
  <c r="C9" i="41"/>
  <c r="C10" i="41"/>
  <c r="C11" i="41"/>
  <c r="D11" i="41" s="1"/>
  <c r="C12" i="41"/>
  <c r="D12" i="41" s="1"/>
  <c r="C13" i="41"/>
  <c r="C14" i="41"/>
  <c r="C15" i="41"/>
  <c r="C3" i="40"/>
  <c r="C4" i="40"/>
  <c r="C5" i="40"/>
  <c r="C6" i="40"/>
  <c r="D6" i="40" s="1"/>
  <c r="C7" i="40"/>
  <c r="C8" i="40"/>
  <c r="C9" i="40"/>
  <c r="C10" i="40"/>
  <c r="C11" i="40"/>
  <c r="D11" i="40" s="1"/>
  <c r="C12" i="40"/>
  <c r="D12" i="40" s="1"/>
  <c r="C13" i="40"/>
  <c r="C14" i="40"/>
  <c r="C15" i="40"/>
  <c r="C3" i="39"/>
  <c r="C4" i="39"/>
  <c r="C5" i="39"/>
  <c r="C6" i="39"/>
  <c r="D6" i="39" s="1"/>
  <c r="C7" i="39"/>
  <c r="C8" i="39"/>
  <c r="C9" i="39"/>
  <c r="C10" i="39"/>
  <c r="C11" i="39"/>
  <c r="D11" i="39" s="1"/>
  <c r="C12" i="39"/>
  <c r="D12" i="39" s="1"/>
  <c r="C13" i="39"/>
  <c r="C14" i="39"/>
  <c r="C15" i="39"/>
  <c r="C3" i="38"/>
  <c r="C4" i="38"/>
  <c r="C5" i="38"/>
  <c r="C6" i="38"/>
  <c r="D6" i="38" s="1"/>
  <c r="C7" i="38"/>
  <c r="C8" i="38"/>
  <c r="C9" i="38"/>
  <c r="C10" i="38"/>
  <c r="C11" i="38"/>
  <c r="D11" i="38" s="1"/>
  <c r="C12" i="38"/>
  <c r="D12" i="38" s="1"/>
  <c r="C13" i="38"/>
  <c r="C14" i="38"/>
  <c r="C15" i="38"/>
  <c r="C3" i="37"/>
  <c r="C4" i="37"/>
  <c r="C5" i="37"/>
  <c r="C6" i="37"/>
  <c r="D6" i="37" s="1"/>
  <c r="C7" i="37"/>
  <c r="C8" i="37"/>
  <c r="C9" i="37"/>
  <c r="C10" i="37"/>
  <c r="C11" i="37"/>
  <c r="D11" i="37" s="1"/>
  <c r="C12" i="37"/>
  <c r="D12" i="37" s="1"/>
  <c r="C13" i="37"/>
  <c r="C14" i="37"/>
  <c r="C15" i="37"/>
  <c r="C3" i="36"/>
  <c r="C4" i="36"/>
  <c r="C5" i="36"/>
  <c r="C6" i="36"/>
  <c r="D6" i="36" s="1"/>
  <c r="C7" i="36"/>
  <c r="C8" i="36"/>
  <c r="C9" i="36"/>
  <c r="C10" i="36"/>
  <c r="C11" i="36"/>
  <c r="D11" i="36" s="1"/>
  <c r="C12" i="36"/>
  <c r="D12" i="36" s="1"/>
  <c r="C13" i="36"/>
  <c r="C14" i="36"/>
  <c r="C15" i="36"/>
  <c r="C3" i="35"/>
  <c r="C4" i="35"/>
  <c r="C5" i="35"/>
  <c r="C6" i="35"/>
  <c r="D6" i="35" s="1"/>
  <c r="C7" i="35"/>
  <c r="C8" i="35"/>
  <c r="C9" i="35"/>
  <c r="C10" i="35"/>
  <c r="C11" i="35"/>
  <c r="D11" i="35" s="1"/>
  <c r="C12" i="35"/>
  <c r="D12" i="35" s="1"/>
  <c r="C13" i="35"/>
  <c r="C14" i="35"/>
  <c r="C15" i="35"/>
  <c r="C3" i="34"/>
  <c r="C4" i="34"/>
  <c r="C5" i="34"/>
  <c r="C6" i="34"/>
  <c r="D6" i="34" s="1"/>
  <c r="C7" i="34"/>
  <c r="C8" i="34"/>
  <c r="C9" i="34"/>
  <c r="C10" i="34"/>
  <c r="C11" i="34"/>
  <c r="D11" i="34" s="1"/>
  <c r="C12" i="34"/>
  <c r="D12" i="34" s="1"/>
  <c r="C13" i="34"/>
  <c r="C14" i="34"/>
  <c r="C15" i="34"/>
  <c r="C3" i="33"/>
  <c r="C4" i="33"/>
  <c r="C5" i="33"/>
  <c r="C6" i="33"/>
  <c r="D6" i="33" s="1"/>
  <c r="C7" i="33"/>
  <c r="C8" i="33"/>
  <c r="C9" i="33"/>
  <c r="C10" i="33"/>
  <c r="C11" i="33"/>
  <c r="D11" i="33" s="1"/>
  <c r="C12" i="33"/>
  <c r="D12" i="33" s="1"/>
  <c r="C13" i="33"/>
  <c r="C14" i="33"/>
  <c r="C15" i="33"/>
  <c r="C3" i="32"/>
  <c r="C4" i="32"/>
  <c r="C5" i="32"/>
  <c r="C6" i="32"/>
  <c r="D6" i="32" s="1"/>
  <c r="C7" i="32"/>
  <c r="C8" i="32"/>
  <c r="C9" i="32"/>
  <c r="C10" i="32"/>
  <c r="C11" i="32"/>
  <c r="D11" i="32" s="1"/>
  <c r="C12" i="32"/>
  <c r="D12" i="32" s="1"/>
  <c r="C13" i="32"/>
  <c r="C14" i="32"/>
  <c r="C15" i="32"/>
  <c r="C15" i="31"/>
  <c r="C14" i="31"/>
  <c r="C13" i="31"/>
  <c r="C12" i="31"/>
  <c r="D12" i="31" s="1"/>
  <c r="C11" i="31"/>
  <c r="D11" i="31" s="1"/>
  <c r="C10" i="31"/>
  <c r="C9" i="31"/>
  <c r="C8" i="31"/>
  <c r="C7" i="31"/>
  <c r="C6" i="31"/>
  <c r="D6" i="31" s="1"/>
  <c r="C5" i="31"/>
  <c r="C4" i="31"/>
  <c r="C3" i="31"/>
  <c r="C15" i="30"/>
  <c r="C14" i="30"/>
  <c r="C13" i="30"/>
  <c r="C12" i="30"/>
  <c r="D12" i="30" s="1"/>
  <c r="C11" i="30"/>
  <c r="D11" i="30" s="1"/>
  <c r="C10" i="30"/>
  <c r="C9" i="30"/>
  <c r="C8" i="30"/>
  <c r="C7" i="30"/>
  <c r="C6" i="30"/>
  <c r="D6" i="30" s="1"/>
  <c r="C5" i="30"/>
  <c r="C4" i="30"/>
  <c r="C3" i="30"/>
  <c r="C15" i="29"/>
  <c r="C14" i="29"/>
  <c r="C13" i="29"/>
  <c r="C12" i="29"/>
  <c r="D12" i="29" s="1"/>
  <c r="C11" i="29"/>
  <c r="D11" i="29" s="1"/>
  <c r="C10" i="29"/>
  <c r="C9" i="29"/>
  <c r="C8" i="29"/>
  <c r="C7" i="29"/>
  <c r="C6" i="29"/>
  <c r="D6" i="29" s="1"/>
  <c r="C5" i="29"/>
  <c r="C4" i="29"/>
  <c r="C3" i="29"/>
  <c r="D15" i="28"/>
  <c r="D14" i="28"/>
  <c r="D13" i="28"/>
  <c r="D12" i="28"/>
  <c r="E12" i="28" s="1"/>
  <c r="D11" i="28"/>
  <c r="E11" i="28" s="1"/>
  <c r="D10" i="28"/>
  <c r="D9" i="28"/>
  <c r="D8" i="28"/>
  <c r="D7" i="28"/>
  <c r="D6" i="28"/>
  <c r="E6" i="28" s="1"/>
  <c r="D5" i="28"/>
  <c r="D4" i="28"/>
  <c r="D3" i="28"/>
  <c r="C15" i="27"/>
  <c r="C14" i="27"/>
  <c r="C13" i="27"/>
  <c r="C12" i="27"/>
  <c r="D12" i="27" s="1"/>
  <c r="C11" i="27"/>
  <c r="D11" i="27" s="1"/>
  <c r="C10" i="27"/>
  <c r="C9" i="27"/>
  <c r="C8" i="27"/>
  <c r="C7" i="27"/>
  <c r="C6" i="27"/>
  <c r="D6" i="27" s="1"/>
  <c r="C5" i="27"/>
  <c r="C4" i="27"/>
  <c r="C3" i="27"/>
  <c r="C15" i="26"/>
  <c r="C14" i="26"/>
  <c r="C13" i="26"/>
  <c r="C12" i="26"/>
  <c r="D12" i="26" s="1"/>
  <c r="C11" i="26"/>
  <c r="D11" i="26" s="1"/>
  <c r="C10" i="26"/>
  <c r="C9" i="26"/>
  <c r="C8" i="26"/>
  <c r="C7" i="26"/>
  <c r="C6" i="26"/>
  <c r="D6" i="26" s="1"/>
  <c r="C5" i="26"/>
  <c r="C4" i="26"/>
  <c r="C3" i="26"/>
  <c r="C15" i="25"/>
  <c r="C14" i="25"/>
  <c r="C13" i="25"/>
  <c r="C12" i="25"/>
  <c r="D12" i="25" s="1"/>
  <c r="C11" i="25"/>
  <c r="D11" i="25" s="1"/>
  <c r="C10" i="25"/>
  <c r="C9" i="25"/>
  <c r="C8" i="25"/>
  <c r="C7" i="25"/>
  <c r="C6" i="25"/>
  <c r="D6" i="25" s="1"/>
  <c r="C5" i="25"/>
  <c r="C4" i="25"/>
  <c r="C3" i="25"/>
  <c r="C15" i="24"/>
  <c r="C14" i="24"/>
  <c r="C13" i="24"/>
  <c r="C12" i="24"/>
  <c r="D12" i="24" s="1"/>
  <c r="C11" i="24"/>
  <c r="D11" i="24" s="1"/>
  <c r="C10" i="24"/>
  <c r="C9" i="24"/>
  <c r="C8" i="24"/>
  <c r="C7" i="24"/>
  <c r="C6" i="24"/>
  <c r="D6" i="24" s="1"/>
  <c r="C5" i="24"/>
  <c r="C4" i="24"/>
  <c r="C3" i="24"/>
  <c r="C15" i="23"/>
  <c r="C14" i="23"/>
  <c r="C13" i="23"/>
  <c r="C12" i="23"/>
  <c r="D12" i="23" s="1"/>
  <c r="C11" i="23"/>
  <c r="D11" i="23" s="1"/>
  <c r="C10" i="23"/>
  <c r="C9" i="23"/>
  <c r="C8" i="23"/>
  <c r="C7" i="23"/>
  <c r="C6" i="23"/>
  <c r="D6" i="23" s="1"/>
  <c r="C5" i="23"/>
  <c r="C4" i="23"/>
  <c r="C3" i="23"/>
  <c r="C15" i="22"/>
  <c r="C14" i="22"/>
  <c r="C13" i="22"/>
  <c r="C12" i="22"/>
  <c r="D12" i="22" s="1"/>
  <c r="C11" i="22"/>
  <c r="D11" i="22" s="1"/>
  <c r="C10" i="22"/>
  <c r="C9" i="22"/>
  <c r="C8" i="22"/>
  <c r="C7" i="22"/>
  <c r="C6" i="22"/>
  <c r="D6" i="22" s="1"/>
  <c r="C5" i="22"/>
  <c r="C4" i="22"/>
  <c r="C3" i="22"/>
  <c r="C15" i="21"/>
  <c r="C14" i="21"/>
  <c r="C13" i="21"/>
  <c r="C12" i="21"/>
  <c r="D12" i="21" s="1"/>
  <c r="C11" i="21"/>
  <c r="D11" i="21" s="1"/>
  <c r="C10" i="21"/>
  <c r="C9" i="21"/>
  <c r="C8" i="21"/>
  <c r="C7" i="21"/>
  <c r="C6" i="21"/>
  <c r="D6" i="21" s="1"/>
  <c r="C5" i="21"/>
  <c r="C4" i="21"/>
  <c r="C3" i="21"/>
  <c r="C15" i="10"/>
  <c r="C14" i="10"/>
  <c r="C13" i="10"/>
  <c r="C12" i="10"/>
  <c r="D12" i="10" s="1"/>
  <c r="C11" i="10"/>
  <c r="D11" i="10" s="1"/>
  <c r="C10" i="10"/>
  <c r="C9" i="10"/>
  <c r="C8" i="10"/>
  <c r="C7" i="10"/>
  <c r="C6" i="10"/>
  <c r="D6" i="10" s="1"/>
  <c r="C5" i="10"/>
  <c r="C4" i="10"/>
  <c r="C3" i="10"/>
  <c r="B16" i="128" l="1"/>
  <c r="B16" i="124"/>
  <c r="B16" i="109"/>
  <c r="D4" i="25"/>
  <c r="D4" i="34"/>
  <c r="B16" i="142"/>
  <c r="B16" i="111"/>
  <c r="D4" i="31"/>
  <c r="D4" i="91"/>
  <c r="D3" i="22"/>
  <c r="E4" i="28"/>
  <c r="D4" i="84"/>
  <c r="B16" i="155"/>
  <c r="B16" i="154"/>
  <c r="B16" i="153"/>
  <c r="D3" i="79"/>
  <c r="D3" i="76"/>
  <c r="D4" i="74"/>
  <c r="D3" i="66"/>
  <c r="D3" i="65"/>
  <c r="D3" i="61"/>
  <c r="D3" i="60"/>
  <c r="B16" i="105"/>
  <c r="D4" i="55"/>
  <c r="D3" i="53"/>
  <c r="D3" i="51"/>
  <c r="B16" i="106"/>
  <c r="B16" i="104"/>
  <c r="B16" i="102"/>
  <c r="B16" i="101"/>
  <c r="D4" i="95"/>
  <c r="D4" i="90"/>
  <c r="D4" i="94"/>
  <c r="B16" i="169"/>
  <c r="D4" i="82"/>
  <c r="D3" i="44"/>
  <c r="D3" i="41"/>
  <c r="B16" i="148"/>
  <c r="D4" i="87"/>
  <c r="B16" i="168"/>
  <c r="B16" i="160"/>
  <c r="B16" i="147"/>
  <c r="B16" i="112"/>
  <c r="B16" i="116"/>
  <c r="B16" i="115"/>
  <c r="D3" i="38"/>
  <c r="D3" i="82"/>
  <c r="B16" i="82" s="1"/>
  <c r="D4" i="29"/>
  <c r="D4" i="30"/>
  <c r="D3" i="39"/>
  <c r="D3" i="42"/>
  <c r="D3" i="63"/>
  <c r="D3" i="67"/>
  <c r="D4" i="70"/>
  <c r="D3" i="78"/>
  <c r="D4" i="24"/>
  <c r="D3" i="36"/>
  <c r="D3" i="56"/>
  <c r="D4" i="92"/>
  <c r="D3" i="32"/>
  <c r="D3" i="37"/>
  <c r="B16" i="110"/>
  <c r="D3" i="21"/>
  <c r="D4" i="22"/>
  <c r="D4" i="41"/>
  <c r="D3" i="59"/>
  <c r="D3" i="94"/>
  <c r="B16" i="94" s="1"/>
  <c r="D3" i="24"/>
  <c r="D4" i="51"/>
  <c r="D4" i="80"/>
  <c r="E3" i="83"/>
  <c r="D4" i="89"/>
  <c r="D3" i="97"/>
  <c r="D3" i="10"/>
  <c r="D4" i="10"/>
  <c r="D3" i="29"/>
  <c r="D4" i="32"/>
  <c r="D4" i="33"/>
  <c r="D4" i="35"/>
  <c r="D3" i="45"/>
  <c r="D4" i="46"/>
  <c r="D4" i="50"/>
  <c r="D4" i="52"/>
  <c r="D4" i="54"/>
  <c r="D4" i="59"/>
  <c r="D4" i="72"/>
  <c r="D4" i="73"/>
  <c r="D3" i="99"/>
  <c r="B16" i="161"/>
  <c r="D4" i="44"/>
  <c r="D4" i="60"/>
  <c r="D4" i="69"/>
  <c r="D3" i="96"/>
  <c r="D3" i="23"/>
  <c r="D4" i="42"/>
  <c r="B16" i="42" s="1"/>
  <c r="D4" i="43"/>
  <c r="D3" i="57"/>
  <c r="D3" i="69"/>
  <c r="D4" i="71"/>
  <c r="D4" i="85"/>
  <c r="D4" i="86"/>
  <c r="D3" i="92"/>
  <c r="D4" i="93"/>
  <c r="D4" i="97"/>
  <c r="D3" i="98"/>
  <c r="D3" i="26"/>
  <c r="D4" i="49"/>
  <c r="D4" i="53"/>
  <c r="D4" i="62"/>
  <c r="D3" i="74"/>
  <c r="D3" i="75"/>
  <c r="D3" i="88"/>
  <c r="D4" i="23"/>
  <c r="D3" i="25"/>
  <c r="D4" i="26"/>
  <c r="D4" i="21"/>
  <c r="D4" i="27"/>
  <c r="E3" i="28"/>
  <c r="D3" i="34"/>
  <c r="B16" i="34" s="1"/>
  <c r="D3" i="48"/>
  <c r="D3" i="71"/>
  <c r="D3" i="73"/>
  <c r="D3" i="80"/>
  <c r="B16" i="146"/>
  <c r="D3" i="30"/>
  <c r="D4" i="48"/>
  <c r="D4" i="61"/>
  <c r="B16" i="61" s="1"/>
  <c r="D3" i="62"/>
  <c r="D4" i="63"/>
  <c r="B16" i="63" s="1"/>
  <c r="D4" i="65"/>
  <c r="B16" i="65" s="1"/>
  <c r="D4" i="75"/>
  <c r="D4" i="76"/>
  <c r="D3" i="77"/>
  <c r="D4" i="77"/>
  <c r="D4" i="78"/>
  <c r="E4" i="83"/>
  <c r="D3" i="84"/>
  <c r="B16" i="84" s="1"/>
  <c r="D3" i="89"/>
  <c r="D4" i="98"/>
  <c r="D4" i="99"/>
  <c r="D3" i="31"/>
  <c r="D3" i="35"/>
  <c r="D3" i="40"/>
  <c r="D3" i="43"/>
  <c r="B16" i="43" s="1"/>
  <c r="D3" i="46"/>
  <c r="B16" i="46" s="1"/>
  <c r="D3" i="47"/>
  <c r="D3" i="49"/>
  <c r="B16" i="49" s="1"/>
  <c r="D3" i="50"/>
  <c r="B16" i="50" s="1"/>
  <c r="D3" i="54"/>
  <c r="D4" i="56"/>
  <c r="D3" i="58"/>
  <c r="D3" i="64"/>
  <c r="D4" i="66"/>
  <c r="D4" i="67"/>
  <c r="D3" i="68"/>
  <c r="D4" i="68"/>
  <c r="D3" i="72"/>
  <c r="D4" i="79"/>
  <c r="B16" i="79" s="1"/>
  <c r="D3" i="81"/>
  <c r="D3" i="86"/>
  <c r="D3" i="90"/>
  <c r="D3" i="33"/>
  <c r="D4" i="36"/>
  <c r="D4" i="37"/>
  <c r="D4" i="38"/>
  <c r="D4" i="39"/>
  <c r="D4" i="40"/>
  <c r="D4" i="45"/>
  <c r="D4" i="47"/>
  <c r="D3" i="52"/>
  <c r="D3" i="55"/>
  <c r="D4" i="57"/>
  <c r="D4" i="58"/>
  <c r="D4" i="64"/>
  <c r="D3" i="70"/>
  <c r="D4" i="81"/>
  <c r="D3" i="85"/>
  <c r="D3" i="87"/>
  <c r="D4" i="88"/>
  <c r="D3" i="91"/>
  <c r="D3" i="93"/>
  <c r="D3" i="95"/>
  <c r="D4" i="96"/>
  <c r="C16" i="83"/>
  <c r="B16" i="66"/>
  <c r="D3" i="27"/>
  <c r="B16" i="24" l="1"/>
  <c r="B16" i="55"/>
  <c r="B16" i="80"/>
  <c r="B16" i="74"/>
  <c r="B16" i="90"/>
  <c r="B16" i="86"/>
  <c r="B16" i="95"/>
  <c r="B16" i="27"/>
  <c r="B16" i="87"/>
  <c r="B16" i="51"/>
  <c r="B16" i="22"/>
  <c r="B16" i="29"/>
  <c r="B16" i="31"/>
  <c r="B16" i="25"/>
  <c r="B16" i="41"/>
  <c r="B16" i="91"/>
  <c r="B16" i="76"/>
  <c r="B16" i="53"/>
  <c r="B16" i="38"/>
  <c r="B16" i="54"/>
  <c r="B16" i="70"/>
  <c r="B16" i="39"/>
  <c r="B16" i="69"/>
  <c r="B16" i="78"/>
  <c r="B16" i="72"/>
  <c r="B16" i="62"/>
  <c r="B16" i="60"/>
  <c r="B16" i="44"/>
  <c r="B16" i="57"/>
  <c r="B16" i="59"/>
  <c r="B16" i="56"/>
  <c r="B16" i="96"/>
  <c r="B16" i="23"/>
  <c r="B16" i="92"/>
  <c r="B16" i="88"/>
  <c r="B16" i="35"/>
  <c r="B16" i="36"/>
  <c r="B16" i="85"/>
  <c r="B16" i="67"/>
  <c r="B16" i="93"/>
  <c r="B16" i="77"/>
  <c r="B16" i="30"/>
  <c r="B16" i="98"/>
  <c r="B16" i="32"/>
  <c r="B16" i="97"/>
  <c r="B16" i="81"/>
  <c r="B16" i="68"/>
  <c r="B16" i="64"/>
  <c r="B16" i="21"/>
  <c r="B16" i="37"/>
  <c r="B16" i="89"/>
  <c r="B16" i="73"/>
  <c r="B16" i="26"/>
  <c r="B16" i="99"/>
  <c r="B16" i="45"/>
  <c r="B16" i="58"/>
  <c r="B16" i="52"/>
  <c r="B16" i="33"/>
  <c r="B16" i="47"/>
  <c r="B16" i="75"/>
  <c r="B16" i="71"/>
  <c r="B16" i="48"/>
  <c r="B16" i="40"/>
  <c r="D16" i="167" l="1"/>
  <c r="B16" i="167"/>
  <c r="C16" i="166"/>
  <c r="B16" i="166"/>
  <c r="C16" i="165"/>
  <c r="B16" i="165"/>
  <c r="C16" i="164"/>
  <c r="B16" i="164"/>
  <c r="D16" i="163"/>
  <c r="B16" i="163"/>
  <c r="C16" i="159"/>
  <c r="B16" i="159"/>
  <c r="D16" i="158"/>
  <c r="B16" i="158"/>
  <c r="D16" i="152"/>
  <c r="B16" i="152"/>
  <c r="F16" i="151"/>
  <c r="B16" i="151"/>
  <c r="C16" i="150"/>
  <c r="B16" i="150"/>
  <c r="D16" i="149"/>
  <c r="B16" i="149"/>
  <c r="E16" i="145"/>
  <c r="B16" i="145"/>
  <c r="C16" i="144"/>
  <c r="B16" i="144"/>
  <c r="D16" i="143"/>
  <c r="B16" i="143"/>
  <c r="E16" i="141"/>
  <c r="B16" i="141"/>
  <c r="D16" i="140"/>
  <c r="B16" i="140"/>
  <c r="D16" i="139"/>
  <c r="B16" i="139"/>
  <c r="C16" i="138"/>
  <c r="B16" i="138"/>
  <c r="F16" i="137"/>
  <c r="B16" i="137"/>
  <c r="E16" i="136" l="1"/>
  <c r="B16" i="136"/>
  <c r="C16" i="135"/>
  <c r="B16" i="135"/>
  <c r="D16" i="134"/>
  <c r="B16" i="134"/>
  <c r="E16" i="133"/>
  <c r="B16" i="133"/>
  <c r="C16" i="132"/>
  <c r="B16" i="132"/>
  <c r="C16" i="131"/>
  <c r="B16" i="131"/>
  <c r="D16" i="130"/>
  <c r="B16" i="130"/>
  <c r="C16" i="129"/>
  <c r="B16" i="129"/>
  <c r="D16" i="127"/>
  <c r="B16" i="127"/>
  <c r="D16" i="126"/>
  <c r="B16" i="126"/>
  <c r="C16" i="125"/>
  <c r="B16" i="125"/>
  <c r="D16" i="123"/>
  <c r="B16" i="123"/>
  <c r="C16" i="122"/>
  <c r="B16" i="122"/>
  <c r="H16" i="121"/>
  <c r="B16" i="121"/>
  <c r="H16" i="120"/>
  <c r="B16" i="120"/>
  <c r="C16" i="119"/>
  <c r="B16" i="119"/>
  <c r="C16" i="118"/>
  <c r="B16" i="118"/>
  <c r="C16" i="117"/>
  <c r="B16" i="117"/>
  <c r="C16" i="114"/>
  <c r="B16" i="114"/>
  <c r="C16" i="113"/>
  <c r="B16" i="113"/>
  <c r="B16" i="83"/>
  <c r="C16" i="28" l="1"/>
  <c r="B16" i="28"/>
</calcChain>
</file>

<file path=xl/sharedStrings.xml><?xml version="1.0" encoding="utf-8"?>
<sst xmlns="http://schemas.openxmlformats.org/spreadsheetml/2006/main" count="2928" uniqueCount="229">
  <si>
    <t>Blank</t>
  </si>
  <si>
    <t>Void</t>
  </si>
  <si>
    <t>Scattering</t>
  </si>
  <si>
    <t>Andrew M. Cuomo (DEM)</t>
  </si>
  <si>
    <t>Total Votes by County</t>
  </si>
  <si>
    <t>Total Votes by Candidate</t>
  </si>
  <si>
    <t>Howie Hawkins (GRE)</t>
  </si>
  <si>
    <t>Andrew M. Cuomo (WOR)</t>
  </si>
  <si>
    <t>Andrew M. Cuomo (IND)</t>
  </si>
  <si>
    <t>Andrew M. Cuomo (WEP)</t>
  </si>
  <si>
    <t>Larry Sharpe (LBT)</t>
  </si>
  <si>
    <t>Stephanie A. Miner (SAM)</t>
  </si>
  <si>
    <t>Candidate Name (Party)</t>
  </si>
  <si>
    <t>Part of Suffolk County Vote Results</t>
  </si>
  <si>
    <t>Marc Mollinaro (REP)</t>
  </si>
  <si>
    <t>Marc Mollinaro (CON)</t>
  </si>
  <si>
    <t>Marc Mollinaro (REF)</t>
  </si>
  <si>
    <t>Part of Nassau County Vote Results</t>
  </si>
  <si>
    <t>Governor Vote by 1st Assembly District - General Election - November 6, 2018</t>
  </si>
  <si>
    <t>Governor Vote by 2nd Assembly District - General Election - November 6, 2018</t>
  </si>
  <si>
    <t>Governor Vote by 3rd Assembly District - General Election - November 6, 2018</t>
  </si>
  <si>
    <t>Governor Vote by 4th Assembly District - General Election - November 6, 2018</t>
  </si>
  <si>
    <t>Governor Vote by 5th Assembly District - General Election - November 6, 2018</t>
  </si>
  <si>
    <t>Governor Vote by 6th Assembly District - General Election - November 6, 2018</t>
  </si>
  <si>
    <t>Governor Vote by 7th Assembly District - General Election - November 6, 2018</t>
  </si>
  <si>
    <t>Governor Vote by 8th Assembly District - General Election - November 6, 2018</t>
  </si>
  <si>
    <t>Governor Vote by 9th Assembly District - General Election - November 6, 2018</t>
  </si>
  <si>
    <t>Governor Vote by 10th Assembly District - General Election - November 6, 2018</t>
  </si>
  <si>
    <t>Governor Vote by 11th Assembly District - General Election - November 6, 2018</t>
  </si>
  <si>
    <t>Governor Vote by 12th Assembly District - General Election - November 6, 2018</t>
  </si>
  <si>
    <t>Governor Vote by 13th Assembly District - General Election - November 6, 2018</t>
  </si>
  <si>
    <t>Governor Vote by 14th Assembly District - General Election - November 6, 2018</t>
  </si>
  <si>
    <t>Governor Vote by 15th Assembly District - General Election - November 6, 2018</t>
  </si>
  <si>
    <t>Governor Vote by 16th Assembly District - General Election - November 6, 2018</t>
  </si>
  <si>
    <t>Governor Vote by 17th Assembly District - General Election - November 6, 2018</t>
  </si>
  <si>
    <t>Governor Vote by 18th Assembly District - General Election - November 6, 2018</t>
  </si>
  <si>
    <t>Governor Vote by 19th Assembly District - General Election - November 6, 2018</t>
  </si>
  <si>
    <t>Governor Vote by 20th Assembly District - General Election - November 6, 2018</t>
  </si>
  <si>
    <t>Governor Vote by 21st Assembly District - General Election - November 6, 2018</t>
  </si>
  <si>
    <t>Governor Vote by 22nd Assembly District - General Election - November 6, 2018</t>
  </si>
  <si>
    <t>Governor Vote by 23rd Assembly District - General Election - November 6, 2018</t>
  </si>
  <si>
    <t>Part of Queens County Vote Results</t>
  </si>
  <si>
    <t>Governor Vote by 24th Assembly District - General Election - November 6, 2018</t>
  </si>
  <si>
    <t>Governor Vote by 25th Assembly District - General Election - November 6, 2018</t>
  </si>
  <si>
    <t>Governor Vote by 26th Assembly District - General Election - November 6, 2018</t>
  </si>
  <si>
    <t>Governor Vote by 27th Assembly District - General Election - November 6, 2018</t>
  </si>
  <si>
    <t>Governor Vote by 28th Assembly District - General Election - November 6, 2018</t>
  </si>
  <si>
    <t>Governor Vote by 29th Assembly District - General Election - November 6, 2018</t>
  </si>
  <si>
    <t>Governor Vote by 30th Assembly District - General Election - November 6, 2018</t>
  </si>
  <si>
    <t>Governor Vote by 31st Assembly District - General Election - November 6, 2018</t>
  </si>
  <si>
    <t>Governor Vote by 32nd Assembly District - General Election - November 6, 2018</t>
  </si>
  <si>
    <t>Governor Vote by 33rd Assembly District - General Election - November 6, 2018</t>
  </si>
  <si>
    <t>Governor Vote by 34th Assembly District - General Election - November 6, 2018</t>
  </si>
  <si>
    <t>Governor Vote by 35th Assembly District - General Election - November 6, 2018</t>
  </si>
  <si>
    <t>Governor Vote by 36th Assembly District - General Election - November 6, 2018</t>
  </si>
  <si>
    <t>Governor Vote by 37th Assembly District - General Election - November 6, 2018</t>
  </si>
  <si>
    <t>Governor Vote by 38th Assembly District - General Election - November 6, 2018</t>
  </si>
  <si>
    <t>Governor Vote by 39th Assembly District - General Election - November 6, 2018</t>
  </si>
  <si>
    <t>Governor Vote by 40th Assembly District - General Election - November 6, 2018</t>
  </si>
  <si>
    <t>Governor Vote by 41st Assembly District - General Election - November 6, 2018</t>
  </si>
  <si>
    <t>Part of Kings County Vote Results</t>
  </si>
  <si>
    <t>Governor Vote by 42nd Assembly District - General Election - November 6, 2018</t>
  </si>
  <si>
    <t>Governor Vote by 43rd Assembly District - General Election - November 6, 2018</t>
  </si>
  <si>
    <t>Governor Vote by 44th Assembly District - General Election - November 6, 2018</t>
  </si>
  <si>
    <t>Governor Vote by 45th Assembly District - General Election - November 6, 2018</t>
  </si>
  <si>
    <t>Governor Vote by 46th Assembly District - General Election - November 6, 2018</t>
  </si>
  <si>
    <t>Governor Vote by 47th Assembly District - General Election - November 6, 2018</t>
  </si>
  <si>
    <t>Governor Vote by 48th Assembly District - General Election - November 6, 2018</t>
  </si>
  <si>
    <t>Governor Vote by 49th Assembly District - General Election - November 6, 2018</t>
  </si>
  <si>
    <t>Governor Vote by 50th Assembly District - General Election - November 6, 2018</t>
  </si>
  <si>
    <t>Governor Vote by 51st Assembly District - General Election - November 6, 2018</t>
  </si>
  <si>
    <t>Governor Vote by 52nd Assembly District - General Election - November 6, 2018</t>
  </si>
  <si>
    <t>Governor Vote by 53rd Assembly District - General Election - November 6, 2018</t>
  </si>
  <si>
    <t>Governor Vote by 54th Assembly District - General Election - November 6, 2018</t>
  </si>
  <si>
    <t>Governor Vote by 55th Assembly District - General Election - November 6, 2018</t>
  </si>
  <si>
    <t>Governor Vote by 56th Assembly District - General Election - November 6, 2018</t>
  </si>
  <si>
    <t>Governor Vote by 57th Assembly District - General Election - November 6, 2018</t>
  </si>
  <si>
    <t>Governor Vote by 58th Assembly District - General Election - November 6, 2018</t>
  </si>
  <si>
    <t>Governor Vote by 59th Assembly District - General Election - November 6, 2018</t>
  </si>
  <si>
    <t>Governor Vote by 60th Assembly District - General Election - November 6, 2018</t>
  </si>
  <si>
    <t>Governor Vote by 61st Assembly District - General Election - November 6, 2018</t>
  </si>
  <si>
    <t>Part of Richmond County Vote Results</t>
  </si>
  <si>
    <t>Governor Vote by 62nd Assembly District - General Election - November 6, 2018</t>
  </si>
  <si>
    <t>Governor Vote by 63rd Assembly District - General Election - November 6, 2018</t>
  </si>
  <si>
    <t>Governor Vote by 64th Assembly District - General Election - November 6, 2018</t>
  </si>
  <si>
    <t>Governor Vote by 65th Assembly District - General Election - November 6, 2018</t>
  </si>
  <si>
    <t>Part of New York County Vote Results</t>
  </si>
  <si>
    <t>Governor Vote by 66th Assembly District - General Election - November 6, 2018</t>
  </si>
  <si>
    <t>Governor Vote by 67th Assembly District - General Election - November 6, 2018</t>
  </si>
  <si>
    <t>Governor Vote by 68th Assembly District - General Election - November 6, 2018</t>
  </si>
  <si>
    <t>Governor Vote by 69th Assembly District - General Election - November 6, 2018</t>
  </si>
  <si>
    <t>Governor Vote by 70th Assembly District - General Election - November 6, 2018</t>
  </si>
  <si>
    <t>Governor Vote by 71st Assembly District - General Election - November 6, 2018</t>
  </si>
  <si>
    <t>Governor Vote by 72nd Assembly District - General Election - November 6, 2018</t>
  </si>
  <si>
    <t>Governor Vote by 73rd Assembly District - General Election - November 6, 2018</t>
  </si>
  <si>
    <t>Governor Vote by 74th Assembly District - General Election - November 6, 2018</t>
  </si>
  <si>
    <t>Governor Vote by 75th Assembly District - General Election - November 6, 2018</t>
  </si>
  <si>
    <t>Governor Vote by 76th Assembly District - General Election - November 6, 2018</t>
  </si>
  <si>
    <t>Governor Vote by 77th Assembly District - General Election - November 6, 2018</t>
  </si>
  <si>
    <t>Part of Bronx County Vote Results</t>
  </si>
  <si>
    <t>Governor Vote by 78th Assembly District - General Election - November 6, 2018</t>
  </si>
  <si>
    <t>Governor Vote by 79th Assembly District - General Election - November 6, 2018</t>
  </si>
  <si>
    <t>Governor Vote by 80th Assembly District - General Election - November 6, 2018</t>
  </si>
  <si>
    <t>Governor Vote by 81st Assembly District - General Election - November 6, 2018</t>
  </si>
  <si>
    <t>Governor Vote by 82nd Assembly District - General Election - November 6, 2018</t>
  </si>
  <si>
    <t>Governor Vote by 83rd Assembly District - General Election - November 6, 2018</t>
  </si>
  <si>
    <t>Governor Vote by 84th Assembly District - General Election - November 6, 2018</t>
  </si>
  <si>
    <t>Governor Vote by 85th Assembly District - General Election - November 6, 2018</t>
  </si>
  <si>
    <t>Governor Vote by 86th Assembly District - General Election - November 6, 2018</t>
  </si>
  <si>
    <t>Governor Vote by 87th Assembly District - General Election - November 6, 2018</t>
  </si>
  <si>
    <t>Governor Vote by 88th Assembly District - General Election - November 6, 2018</t>
  </si>
  <si>
    <t>Part of Westchester County Vote Results</t>
  </si>
  <si>
    <t>Governor Vote by 89th Assembly District - General Election - November 6, 2018</t>
  </si>
  <si>
    <t>Governor Vote by 90th Assembly District - General Election - November 6, 2018</t>
  </si>
  <si>
    <t>Governor Vote by 91st Assembly District - General Election - November 6, 2018</t>
  </si>
  <si>
    <t>Governor Vote by 92nd Assembly District - General Election - November 6, 2018</t>
  </si>
  <si>
    <t>Governor Vote by 93rd Assembly District - General Election - November 6, 2018</t>
  </si>
  <si>
    <t>Governor Vote by 94th Assembly District - General Election - November 6, 2018</t>
  </si>
  <si>
    <t>Part of Putnam County Vote Results</t>
  </si>
  <si>
    <t>Governor Vote by 95th Assembly District - General Election - November 6, 2018</t>
  </si>
  <si>
    <t>Governor Vote by 96th Assembly District - General Election - November 6, 2018</t>
  </si>
  <si>
    <t>Part of Rockland County Vote Results</t>
  </si>
  <si>
    <t>Governor Vote by 97th Assembly District - General Election - November 6, 2018</t>
  </si>
  <si>
    <t>Governor Vote by 98th Assembly District - General Election - November 6, 2018</t>
  </si>
  <si>
    <t>Part of Orange County Vote Results</t>
  </si>
  <si>
    <t>Governor Vote by 99th Assembly District - General Election - November 6, 2018</t>
  </si>
  <si>
    <t>Governor Vote by 100th Assembly District - General Election - November 6, 2018</t>
  </si>
  <si>
    <t>Part of Sullivan County Vote Results</t>
  </si>
  <si>
    <t>Governor Vote by 101st Assembly District - General Election - November 6, 2018</t>
  </si>
  <si>
    <t>Part of Delaware County Vote Results</t>
  </si>
  <si>
    <t>Part of Herkimer County Vote Results</t>
  </si>
  <si>
    <t>Part of Oneida County Vote Results</t>
  </si>
  <si>
    <t>Part of Otsego County Vote Results</t>
  </si>
  <si>
    <t>Part of Ulster County Vote Results</t>
  </si>
  <si>
    <t>Governor Vote by 102nd Assembly District - General Election - November 6, 2018</t>
  </si>
  <si>
    <t>Greene County Vote Results</t>
  </si>
  <si>
    <t>Schoharie County Vote Results</t>
  </si>
  <si>
    <t>Part of Albany County Vote Results</t>
  </si>
  <si>
    <t>Part of Columbia County Vote Results</t>
  </si>
  <si>
    <t>Governor Vote by 103rd Assembly District - General Election - November 6, 2018</t>
  </si>
  <si>
    <t>Part of Dutchess County Vote Results</t>
  </si>
  <si>
    <t>Governor Vote by 104th Assembly District - General Election - November 6, 2018</t>
  </si>
  <si>
    <t>Governor Vote by 105th Assembly District - General Election - November 6, 2018</t>
  </si>
  <si>
    <t>Governor Vote by 106th Assembly District - General Election - November 6, 2018</t>
  </si>
  <si>
    <t>Governor Vote by 107th Assembly District - General Election - November 6, 2018</t>
  </si>
  <si>
    <t>Part of Rensselaer County Vote Results</t>
  </si>
  <si>
    <t>Part of Washington County Vote Results</t>
  </si>
  <si>
    <t>Governor Vote by 108th Assembly District - General Election - November 6, 2018</t>
  </si>
  <si>
    <t>Part of Saratoga County Vote Results</t>
  </si>
  <si>
    <t>Governor Vote by 109th Assembly District - General Election - November 6, 2018</t>
  </si>
  <si>
    <t>Governor Vote by 110th Assembly District - General Election - November 6, 2018</t>
  </si>
  <si>
    <t>Part of Schenectady County Vote Results</t>
  </si>
  <si>
    <t>Governor Vote by 111th Assembly District - General Election - November 6, 2018</t>
  </si>
  <si>
    <t>Montgomery County Vote Results</t>
  </si>
  <si>
    <t>Governor Vote by 112th Assembly District - General Election - November 6, 2018</t>
  </si>
  <si>
    <t>Governor Vote by 113th Assembly District - General Election - November 6, 2018</t>
  </si>
  <si>
    <t>Governor Vote by 114th Assembly District - General Election - November 6, 2018</t>
  </si>
  <si>
    <t>Essex County Vote Results</t>
  </si>
  <si>
    <t>Warren County Vote Results</t>
  </si>
  <si>
    <t>Governor Vote by 115th Assembly District - General Election - November 6, 2018</t>
  </si>
  <si>
    <t>Clinton County Vote Results</t>
  </si>
  <si>
    <t>Franklin County Vote Results</t>
  </si>
  <si>
    <t>Part of St. Lawrence County Vote Results</t>
  </si>
  <si>
    <t>Governor Vote by 116th Assembly District - General Election - November 6, 2018</t>
  </si>
  <si>
    <t>Part of Jefferson County Vote Results</t>
  </si>
  <si>
    <t>Governor Vote by 117th Assembly District - General Election - November 6, 2018</t>
  </si>
  <si>
    <t>Lewis County Vote Results</t>
  </si>
  <si>
    <t>Governor Vote by 118th Assembly District - General Election - November 6, 2018</t>
  </si>
  <si>
    <t>Fulton County Vote Results</t>
  </si>
  <si>
    <t>Hamilton County Vote Results</t>
  </si>
  <si>
    <t>Governor Vote by 119th Assembly District - General Election - November 6, 2018</t>
  </si>
  <si>
    <t>Governor Vote by 120th Assembly District - General Election - November 6, 2018</t>
  </si>
  <si>
    <t>Part of Onondaga County Vote Results</t>
  </si>
  <si>
    <t>Part of Oswego County Vote Results</t>
  </si>
  <si>
    <t>Governor Vote by 121st Assembly District - General Election - November 6, 2018</t>
  </si>
  <si>
    <t>Madison County Vote Results</t>
  </si>
  <si>
    <t>Governor Vote by 122nd Assembly District - General Election - November 6, 2018</t>
  </si>
  <si>
    <t>Part of Broome County Vote Results</t>
  </si>
  <si>
    <t>Part of Chenango County Vote Results</t>
  </si>
  <si>
    <t>Governor Vote by 123rd Assembly District - General Election - November 6, 2018</t>
  </si>
  <si>
    <t>Governor Vote by 124th Assembly District - General Election - November 6, 2018</t>
  </si>
  <si>
    <t>Tioga County Vote Results</t>
  </si>
  <si>
    <t>Part of Chemung County Vote Results</t>
  </si>
  <si>
    <t>Governor Vote by 125th Assembly District - General Election - November 6, 2018</t>
  </si>
  <si>
    <t>Tompkins County Vote Results</t>
  </si>
  <si>
    <t>Part of Cortland County Vote Results</t>
  </si>
  <si>
    <t>Governor Vote by 126th Assembly District - General Election - November 6, 2018</t>
  </si>
  <si>
    <t>Part of Cayuga County Vote Results</t>
  </si>
  <si>
    <t>Governor Vote by 127th Assembly District - General Election - November 6, 2018</t>
  </si>
  <si>
    <t>Governor Vote by 128th Assembly District - General Election - November 6, 2018</t>
  </si>
  <si>
    <t>Governor Vote by 129th Assembly District - General Election - November 6, 2018</t>
  </si>
  <si>
    <t>Governor Vote by 130th Assembly District - General Election - November 6, 2018</t>
  </si>
  <si>
    <t>Wayne County Vote Results</t>
  </si>
  <si>
    <t>Governor Vote by 131st Assembly District - General Election - November 6, 2018</t>
  </si>
  <si>
    <t>Ontario County Vote Results</t>
  </si>
  <si>
    <t>Part of Seneca County Vote Results</t>
  </si>
  <si>
    <t>Governor Vote by 132nd Assembly District - General Election - November 6, 2018</t>
  </si>
  <si>
    <t>Schuyler County Vote Results</t>
  </si>
  <si>
    <t>Yates County Vote Results</t>
  </si>
  <si>
    <t>Part of Steuben County Vote Results</t>
  </si>
  <si>
    <t>Governor Vote by 133rd Assembly District - General Election - November 6, 2018</t>
  </si>
  <si>
    <t>Livingston County Vote Results</t>
  </si>
  <si>
    <t>Part of Monroe County Vote Results</t>
  </si>
  <si>
    <t>Governor Vote by 134th Assembly District - General Election - November 6, 2018</t>
  </si>
  <si>
    <t>Governor Vote by 135th Assembly District - General Election - November 6, 2018</t>
  </si>
  <si>
    <t>Governor Vote by 136th Assembly District - General Election - November 6, 2018</t>
  </si>
  <si>
    <t>Governor Vote by 137th Assembly District - General Election - November 6, 2018</t>
  </si>
  <si>
    <t>Governor Vote by 138th Assembly District - General Election - November 6, 2018</t>
  </si>
  <si>
    <t>Governor Vote by 139th Assembly District - General Election - November 6, 2018</t>
  </si>
  <si>
    <t>Genesee County Vote Results</t>
  </si>
  <si>
    <t>Part of Orleans County Vote Results</t>
  </si>
  <si>
    <t>Governor Vote by 140th Assembly District - General Election - November 6, 2018</t>
  </si>
  <si>
    <t>Part of Erie County Vote Results</t>
  </si>
  <si>
    <t>Part of Niagara County Vote Results</t>
  </si>
  <si>
    <t>Governor Vote by 141st Assembly District - General Election - November 6, 2018</t>
  </si>
  <si>
    <t>Governor Vote by 142nd Assembly District - General Election - November 6, 2018</t>
  </si>
  <si>
    <t>Governor Vote by 143rd Assembly District - General Election - November 6, 2018</t>
  </si>
  <si>
    <t>Governor Vote by 144th Assembly District - General Election - November 6, 2018</t>
  </si>
  <si>
    <t>Governor Vote by 145th Assembly District - General Election - November 6, 2018</t>
  </si>
  <si>
    <t>Governor Vote by 146th Assembly District - General Election - November 6, 2018</t>
  </si>
  <si>
    <t>Governor Vote by 147th Assembly District - General Election - November 6, 2018</t>
  </si>
  <si>
    <t>Wyoming County Vote Results</t>
  </si>
  <si>
    <t>Governor Vote by 148th Assembly District - General Election - November 6, 2018</t>
  </si>
  <si>
    <t>Allegany County Vote Results</t>
  </si>
  <si>
    <t>Cattaraugus County Vote Results</t>
  </si>
  <si>
    <t>Governor Vote by 149th Assembly District - General Election - November 6, 2018</t>
  </si>
  <si>
    <t>Governor Vote by 150th Assembly District - General Election - November 6, 2018</t>
  </si>
  <si>
    <t>Chautauqua County Vote Results</t>
  </si>
  <si>
    <t>Total Votes by Party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</si>
</sst>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24994659260841701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vertical="center"/>
    </xf>
    <xf numFmtId="0" fontId="3" fillId="3" borderId="4" xfId="0" applyFont="1" applyFill="1" applyBorder="1"/>
    <xf numFmtId="3" fontId="2" fillId="0" borderId="1" xfId="0" applyNumberFormat="1" applyFont="1" applyBorder="1"/>
    <xf numFmtId="0" fontId="3" fillId="3" borderId="5" xfId="0" applyFont="1" applyFill="1" applyBorder="1"/>
    <xf numFmtId="3" fontId="2" fillId="0" borderId="3" xfId="0" applyNumberFormat="1" applyFont="1" applyBorder="1"/>
    <xf numFmtId="0" fontId="2" fillId="0" borderId="3" xfId="0" applyFont="1" applyBorder="1"/>
    <xf numFmtId="0" fontId="3" fillId="2" borderId="6" xfId="0" applyFont="1" applyFill="1" applyBorder="1" applyAlignment="1">
      <alignment vertical="center"/>
    </xf>
    <xf numFmtId="0" fontId="3" fillId="4" borderId="2" xfId="0" applyFont="1" applyFill="1" applyBorder="1" applyAlignment="1">
      <alignment horizontal="right" vertical="center" wrapText="1"/>
    </xf>
    <xf numFmtId="0" fontId="0" fillId="0" borderId="7" xfId="0" applyBorder="1"/>
    <xf numFmtId="0" fontId="3" fillId="2" borderId="2" xfId="0" applyFont="1" applyFill="1" applyBorder="1" applyAlignment="1">
      <alignment horizontal="right" vertical="center"/>
    </xf>
    <xf numFmtId="0" fontId="3" fillId="6" borderId="2" xfId="0" applyFont="1" applyFill="1" applyBorder="1" applyAlignment="1">
      <alignment horizontal="right" vertical="center"/>
    </xf>
    <xf numFmtId="3" fontId="2" fillId="4" borderId="1" xfId="0" applyNumberFormat="1" applyFont="1" applyFill="1" applyBorder="1"/>
    <xf numFmtId="3" fontId="2" fillId="7" borderId="1" xfId="0" applyNumberFormat="1" applyFont="1" applyFill="1" applyBorder="1"/>
    <xf numFmtId="3" fontId="2" fillId="5" borderId="1" xfId="0" applyNumberFormat="1" applyFont="1" applyFill="1" applyBorder="1"/>
    <xf numFmtId="3" fontId="0" fillId="0" borderId="0" xfId="0" applyNumberFormat="1"/>
  </cellXfs>
  <cellStyles count="1">
    <cellStyle name="Normal" xfId="0" builtinId="0"/>
  </cellStyles>
  <dxfs count="2106"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38" Type="http://schemas.openxmlformats.org/officeDocument/2006/relationships/worksheet" Target="worksheets/sheet138.xml"/><Relationship Id="rId154" Type="http://schemas.openxmlformats.org/officeDocument/2006/relationships/calcChain" Target="calcChain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28" Type="http://schemas.openxmlformats.org/officeDocument/2006/relationships/worksheet" Target="worksheets/sheet128.xml"/><Relationship Id="rId144" Type="http://schemas.openxmlformats.org/officeDocument/2006/relationships/worksheet" Target="worksheets/sheet144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134" Type="http://schemas.openxmlformats.org/officeDocument/2006/relationships/worksheet" Target="worksheets/sheet134.xml"/><Relationship Id="rId139" Type="http://schemas.openxmlformats.org/officeDocument/2006/relationships/worksheet" Target="worksheets/sheet13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16" Type="http://schemas.openxmlformats.org/officeDocument/2006/relationships/worksheet" Target="worksheets/sheet116.xml"/><Relationship Id="rId124" Type="http://schemas.openxmlformats.org/officeDocument/2006/relationships/worksheet" Target="worksheets/sheet124.xml"/><Relationship Id="rId129" Type="http://schemas.openxmlformats.org/officeDocument/2006/relationships/worksheet" Target="worksheets/sheet129.xml"/><Relationship Id="rId137" Type="http://schemas.openxmlformats.org/officeDocument/2006/relationships/worksheet" Target="worksheets/sheet13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40" Type="http://schemas.openxmlformats.org/officeDocument/2006/relationships/worksheet" Target="worksheets/sheet140.xml"/><Relationship Id="rId145" Type="http://schemas.openxmlformats.org/officeDocument/2006/relationships/worksheet" Target="worksheets/sheet145.xml"/><Relationship Id="rId15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30" Type="http://schemas.openxmlformats.org/officeDocument/2006/relationships/worksheet" Target="worksheets/sheet130.xml"/><Relationship Id="rId135" Type="http://schemas.openxmlformats.org/officeDocument/2006/relationships/worksheet" Target="worksheets/sheet135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5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141" Type="http://schemas.openxmlformats.org/officeDocument/2006/relationships/worksheet" Target="worksheets/sheet141.xml"/><Relationship Id="rId146" Type="http://schemas.openxmlformats.org/officeDocument/2006/relationships/worksheet" Target="worksheets/sheet14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worksheet" Target="worksheets/sheet131.xml"/><Relationship Id="rId136" Type="http://schemas.openxmlformats.org/officeDocument/2006/relationships/worksheet" Target="worksheets/sheet136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52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3" Type="http://schemas.openxmlformats.org/officeDocument/2006/relationships/worksheet" Target="worksheets/sheet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D42AD6C-6821-43C0-9483-4DAF13F0ABA2}" name="GovByAssemblyDistrict1General" displayName="GovByAssemblyDistrict1General" ref="A2:D16" totalsRowCount="1" headerRowDxfId="2105" dataDxfId="2103" headerRowBorderDxfId="2104" tableBorderDxfId="2102" totalsRowBorderDxfId="2101">
  <autoFilter ref="A2:D15" xr:uid="{9CE71108-07A7-450C-BF45-9967FD0C0278}">
    <filterColumn colId="0" hiddenButton="1"/>
    <filterColumn colId="1" hiddenButton="1"/>
    <filterColumn colId="2" hiddenButton="1"/>
    <filterColumn colId="3" hiddenButton="1"/>
  </autoFilter>
  <tableColumns count="4">
    <tableColumn id="1" xr3:uid="{796C4204-A104-44FA-8A14-A39FD34C2D15}" name="Candidate Name (Party)" totalsRowLabel="Total Votes by County" dataDxfId="2100" totalsRowDxfId="2099"/>
    <tableColumn id="4" xr3:uid="{F5FCF1FE-842D-47D8-9AC9-E27829180C44}" name="Part of Suffolk County Vote Results" dataDxfId="2098" totalsRowDxfId="2097"/>
    <tableColumn id="3" xr3:uid="{088B7AEE-EA02-4857-BDC2-9881DE4158B5}" name="Total Votes by Party" dataDxfId="2096" totalsRowDxfId="2095">
      <calculatedColumnFormula>GovByAssemblyDistrict1General[[#This Row],[Part of Suffolk County Vote Results]]</calculatedColumnFormula>
    </tableColumn>
    <tableColumn id="2" xr3:uid="{778E21F7-2F91-4EBC-8947-389FAE0F80B0}" name="Total Votes by Candidate" dataDxfId="2094" totalsRowDxfId="2093"/>
  </tableColumns>
  <tableStyleInfo name="TableStyleMedium2" showFirstColumn="0" showLastColumn="0" showRowStripes="0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3C094360-44B0-44E6-9EA2-EB30C4A939CE}" name="GovByAssemblyDistrict10General" displayName="GovByAssemblyDistrict10General" ref="A2:D16" totalsRowCount="1" headerRowDxfId="1986" dataDxfId="1984" headerRowBorderDxfId="1985" tableBorderDxfId="1983" totalsRowBorderDxfId="1982">
  <autoFilter ref="A2:D15" xr:uid="{1A2526D8-A672-4AA0-9B2F-595407EC24F9}">
    <filterColumn colId="0" hiddenButton="1"/>
    <filterColumn colId="1" hiddenButton="1"/>
    <filterColumn colId="2" hiddenButton="1"/>
    <filterColumn colId="3" hiddenButton="1"/>
  </autoFilter>
  <tableColumns count="4">
    <tableColumn id="1" xr3:uid="{38D24982-6FFC-4CD0-A629-C0F66F98B2DE}" name="Candidate Name (Party)" totalsRowLabel="Total Votes by County" dataDxfId="1981" totalsRowDxfId="1980"/>
    <tableColumn id="4" xr3:uid="{0326444D-DCDE-40EB-B7E4-10E65E830FC8}" name="Part of Suffolk County Vote Results" totalsRowFunction="custom" dataDxfId="1979" totalsRowDxfId="1978">
      <totalsRowFormula>SUBTOTAL(109,GovByAssemblyDistrict10General[Total Votes by Candidate])</totalsRowFormula>
    </tableColumn>
    <tableColumn id="3" xr3:uid="{8EC1093C-7021-482C-8D03-5F737AF9DE6D}" name="Total Votes by Party" dataDxfId="1977" totalsRowDxfId="1976">
      <calculatedColumnFormula>GovByAssemblyDistrict10General[[#This Row],[Part of Suffolk County Vote Results]]</calculatedColumnFormula>
    </tableColumn>
    <tableColumn id="2" xr3:uid="{4B63B077-165D-4A84-84AB-126B927D20E3}" name="Total Votes by Candidate" dataDxfId="1975" totalsRowDxfId="1974"/>
  </tableColumns>
  <tableStyleInfo name="TableStyleMedium2" showFirstColumn="0" showLastColumn="0" showRowStripes="0" showColumnStripes="0"/>
</table>
</file>

<file path=xl/tables/table10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5" xr:uid="{19136398-9E63-4B2B-95B5-E74A960CDC98}" name="GovByAssemblyDistrict100General" displayName="GovByAssemblyDistrict100General" ref="A2:E16" totalsRowCount="1" headerRowDxfId="806" dataDxfId="804" headerRowBorderDxfId="805" tableBorderDxfId="803" totalsRowBorderDxfId="802">
  <autoFilter ref="A2:E15" xr:uid="{D6FE1EC3-93A5-49C8-9E68-C4888AB153D9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305F3E9E-81D3-48FC-BE72-E95B9BCA0E9F}" name="Candidate Name (Party)" totalsRowLabel="Total Votes by County" dataDxfId="801" totalsRowDxfId="800"/>
    <tableColumn id="2" xr3:uid="{28114831-4828-4A23-9733-5E52F6116DD2}" name="Part of Orange County Vote Results" totalsRowFunction="sum" dataDxfId="799" totalsRowDxfId="798"/>
    <tableColumn id="4" xr3:uid="{99D3C8C3-D930-4E51-BCB3-506F29CD5B88}" name="Part of Sullivan County Vote Results" totalsRowFunction="sum" dataDxfId="797" totalsRowDxfId="796"/>
    <tableColumn id="3" xr3:uid="{D3A54086-5945-4E92-A189-175E3705DAFE}" name="Total Votes by Party" dataDxfId="795" totalsRowDxfId="794">
      <calculatedColumnFormula>SUM(GovByAssemblyDistrict100General[[#This Row],[Part of Orange County Vote Results]:[Part of Sullivan County Vote Results]])</calculatedColumnFormula>
    </tableColumn>
    <tableColumn id="5" xr3:uid="{481F8C63-2AB1-4C0D-8457-FDF74C0C2434}" name="Total Votes by Candidate" dataDxfId="793" totalsRowDxfId="792"/>
  </tableColumns>
  <tableStyleInfo name="TableStyleMedium2" showFirstColumn="0" showLastColumn="0" showRowStripes="0" showColumnStripes="0"/>
</table>
</file>

<file path=xl/tables/table10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6" xr:uid="{CF6ED676-B024-46EF-A995-31567031BFCA}" name="GovByAssemblyDistrict101General" displayName="GovByAssemblyDistrict101General" ref="A2:J16" totalsRowCount="1" headerRowDxfId="791" dataDxfId="789" headerRowBorderDxfId="790" tableBorderDxfId="788" totalsRowBorderDxfId="787">
  <autoFilter ref="A2:J15" xr:uid="{A84EA8EA-3DC8-4BE0-B0E8-378FDBE7B14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52A1AB8C-9C3D-45F2-BF17-CACF5F5D02F6}" name="Candidate Name (Party)" totalsRowLabel="Total Votes by County" dataDxfId="786" totalsRowDxfId="785"/>
    <tableColumn id="2" xr3:uid="{492112F1-8776-492A-935D-3B9AD880662D}" name="Part of Delaware County Vote Results" totalsRowFunction="sum" dataDxfId="784" totalsRowDxfId="783"/>
    <tableColumn id="10" xr3:uid="{F6E462FF-9F2D-404B-BBCB-4A8F39BFD6FB}" name="Part of Herkimer County Vote Results" dataDxfId="782" totalsRowDxfId="781"/>
    <tableColumn id="9" xr3:uid="{A663E08A-54C4-4D0D-8512-FA8CBD82BA05}" name="Part of Oneida County Vote Results" dataDxfId="780" totalsRowDxfId="779"/>
    <tableColumn id="8" xr3:uid="{5D88521F-A1FA-4B32-A4EC-6E9A14380A8B}" name="Part of Orange County Vote Results" dataDxfId="778" totalsRowDxfId="777"/>
    <tableColumn id="7" xr3:uid="{DF81F04E-3791-467A-B78C-A26AB4C723D5}" name="Part of Otsego County Vote Results" dataDxfId="776" totalsRowDxfId="775"/>
    <tableColumn id="6" xr3:uid="{D1775E0F-DDB4-47BC-B019-4AA182416021}" name="Part of Sullivan County Vote Results" dataDxfId="774" totalsRowDxfId="773"/>
    <tableColumn id="4" xr3:uid="{A0002B67-C24A-4C49-B302-13435A72D7C7}" name="Part of Ulster County Vote Results" totalsRowFunction="sum" dataDxfId="772" totalsRowDxfId="771"/>
    <tableColumn id="3" xr3:uid="{9CDBA908-2C0B-481B-84CE-318F2558D6CE}" name="Total Votes by Party" dataDxfId="770" totalsRowDxfId="769">
      <calculatedColumnFormula>SUM(GovByAssemblyDistrict101General[[#This Row],[Part of Delaware County Vote Results]:[Part of Ulster County Vote Results]])</calculatedColumnFormula>
    </tableColumn>
    <tableColumn id="5" xr3:uid="{6E933D4B-9863-4437-946E-AEF7A2582F8E}" name="Total Votes by Candidate" dataDxfId="768" totalsRowDxfId="767"/>
  </tableColumns>
  <tableStyleInfo name="TableStyleMedium2" showFirstColumn="0" showLastColumn="0" showRowStripes="0" showColumnStripes="0"/>
</table>
</file>

<file path=xl/tables/table10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7" xr:uid="{5BBB4745-8561-4B8E-82F6-35028FF11BF6}" name="GovByAssemblyDistrict102General" displayName="GovByAssemblyDistrict102General" ref="A2:J16" totalsRowCount="1" headerRowDxfId="766" dataDxfId="764" headerRowBorderDxfId="765" tableBorderDxfId="763" totalsRowBorderDxfId="762">
  <autoFilter ref="A2:J15" xr:uid="{60F9CFE0-FC55-4A99-8438-CDE605F9622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3765160D-D025-47CF-8C6E-3F67E3390413}" name="Candidate Name (Party)" totalsRowLabel="Total Votes by County" dataDxfId="761" totalsRowDxfId="760"/>
    <tableColumn id="2" xr3:uid="{43E4376A-B2DC-4857-8556-798D7AE6C0B8}" name="Greene County Vote Results" totalsRowFunction="sum" dataDxfId="759" totalsRowDxfId="758"/>
    <tableColumn id="10" xr3:uid="{9777CC77-FA04-460B-8DFB-5EA82E4E1ADC}" name="Schoharie County Vote Results" dataDxfId="757" totalsRowDxfId="756"/>
    <tableColumn id="9" xr3:uid="{209859FC-7ED1-415F-A7D2-0625BBFE8A6A}" name="Part of Albany County Vote Results" dataDxfId="755" totalsRowDxfId="754"/>
    <tableColumn id="8" xr3:uid="{788BF729-FC21-4BDD-92DE-D5E6417760A7}" name="Part of Columbia County Vote Results" dataDxfId="753" totalsRowDxfId="752"/>
    <tableColumn id="7" xr3:uid="{B1F03A70-8515-4C9D-9384-CD79548B2789}" name="Part of Delaware County Vote Results" dataDxfId="751" totalsRowDxfId="750"/>
    <tableColumn id="6" xr3:uid="{CE01FDA4-4A74-4E57-9B38-56FC792F7879}" name="Part of Otsego County Vote Results" dataDxfId="749" totalsRowDxfId="748"/>
    <tableColumn id="4" xr3:uid="{CF680B2A-70BF-48B1-B702-012930D73255}" name="Part of Ulster County Vote Results" totalsRowFunction="sum" dataDxfId="747" totalsRowDxfId="746"/>
    <tableColumn id="3" xr3:uid="{11F93762-ADFD-4763-BB86-1F0FCA04A4CC}" name="Total Votes by Party" dataDxfId="745" totalsRowDxfId="744">
      <calculatedColumnFormula>SUM(GovByAssemblyDistrict102General[[#This Row],[Greene County Vote Results]:[Part of Ulster County Vote Results]])</calculatedColumnFormula>
    </tableColumn>
    <tableColumn id="5" xr3:uid="{CBDFA48A-9D47-4287-834A-ADAB8A36966F}" name="Total Votes by Candidate" dataDxfId="743" totalsRowDxfId="742"/>
  </tableColumns>
  <tableStyleInfo name="TableStyleMedium2" showFirstColumn="0" showLastColumn="0" showRowStripes="0" showColumnStripes="0"/>
</table>
</file>

<file path=xl/tables/table10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8" xr:uid="{8DE6521B-F087-4342-B352-B0BEEA316286}" name="GovByAssemblyDistrict103General" displayName="GovByAssemblyDistrict103General" ref="A2:E16" totalsRowCount="1" headerRowDxfId="741" dataDxfId="739" headerRowBorderDxfId="740" tableBorderDxfId="738" totalsRowBorderDxfId="737">
  <autoFilter ref="A2:E15" xr:uid="{D956A29D-EDDF-4334-8814-15DEAE50EBC5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1138A5-D625-4FED-A450-37D4D5B2C390}" name="Candidate Name (Party)" totalsRowLabel="Total Votes by County" dataDxfId="736" totalsRowDxfId="735"/>
    <tableColumn id="2" xr3:uid="{CA5AE7F9-C999-4D09-BAA5-6DE1E9C23242}" name="Part of Dutchess County Vote Results" totalsRowFunction="sum" dataDxfId="734" totalsRowDxfId="733"/>
    <tableColumn id="4" xr3:uid="{4A18D544-1923-4E27-9B66-40CE1890E30C}" name="Part of Ulster County Vote Results" totalsRowFunction="sum" dataDxfId="732" totalsRowDxfId="731"/>
    <tableColumn id="3" xr3:uid="{9FFC9199-CB48-4BD0-BC50-E5C60F423B8A}" name="Total Votes by Party" dataDxfId="730" totalsRowDxfId="729">
      <calculatedColumnFormula>SUM(GovByAssemblyDistrict103General[[#This Row],[Part of Dutchess County Vote Results]:[Part of Ulster County Vote Results]])</calculatedColumnFormula>
    </tableColumn>
    <tableColumn id="5" xr3:uid="{16E3141B-E585-4D3E-99E0-F736B79D73F3}" name="Total Votes by Candidate" dataDxfId="728" totalsRowDxfId="727"/>
  </tableColumns>
  <tableStyleInfo name="TableStyleMedium2" showFirstColumn="0" showLastColumn="0" showRowStripes="0" showColumnStripes="0"/>
</table>
</file>

<file path=xl/tables/table10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9" xr:uid="{DC0DCDCE-A340-4FD6-9B1E-56326015FB37}" name="GovByAssemblyDistrict104General" displayName="GovByAssemblyDistrict104General" ref="A2:F16" totalsRowCount="1" headerRowDxfId="726" dataDxfId="724" headerRowBorderDxfId="725" tableBorderDxfId="723" totalsRowBorderDxfId="722">
  <autoFilter ref="A2:F15" xr:uid="{491EA58E-B3C6-4D92-973E-4B61E326578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E5B8D2CB-EF57-4EBC-8F22-048E7987490B}" name="Candidate Name (Party)" totalsRowLabel="Total Votes by County" dataDxfId="721" totalsRowDxfId="720"/>
    <tableColumn id="2" xr3:uid="{7587163D-4B56-4F85-98BD-7683A4DEFDF9}" name="Part of Dutchess County Vote Results" totalsRowFunction="sum" dataDxfId="719" totalsRowDxfId="718"/>
    <tableColumn id="3" xr3:uid="{9DDD208F-1A57-4135-9894-8AD9990435A1}" name="Part of Orange County Vote Results" dataDxfId="717" totalsRowDxfId="716"/>
    <tableColumn id="4" xr3:uid="{BCD939FE-4AEF-430D-8621-90B166F2F251}" name="Part of Ulster County Vote Results" totalsRowFunction="sum" dataDxfId="715" totalsRowDxfId="714"/>
    <tableColumn id="6" xr3:uid="{B0FE8584-C599-47FA-8C6B-32353FF8073B}" name="Total Votes by Party" dataDxfId="713" totalsRowDxfId="712">
      <calculatedColumnFormula>SUM(GovByAssemblyDistrict104General[[#This Row],[Part of Dutchess County Vote Results]:[Part of Ulster County Vote Results]])</calculatedColumnFormula>
    </tableColumn>
    <tableColumn id="5" xr3:uid="{7DA09E6D-D03E-48CC-B9FD-49EE148D3021}" name="Total Votes by Candidate" dataDxfId="711" totalsRowDxfId="710"/>
  </tableColumns>
  <tableStyleInfo name="TableStyleMedium2" showFirstColumn="0" showLastColumn="0" showRowStripes="0" showColumnStripes="0"/>
</table>
</file>

<file path=xl/tables/table10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0" xr:uid="{D91410DC-D78B-44E5-81DA-E7984F29B227}" name="GovByAssemblyDistrict105General" displayName="GovByAssemblyDistrict105General" ref="A2:D16" totalsRowCount="1" headerRowDxfId="709" dataDxfId="707" headerRowBorderDxfId="708" tableBorderDxfId="706" totalsRowBorderDxfId="705">
  <autoFilter ref="A2:D15" xr:uid="{7601B376-1E17-4CD9-ACAC-8FC5D0D5C60A}">
    <filterColumn colId="0" hiddenButton="1"/>
    <filterColumn colId="1" hiddenButton="1"/>
    <filterColumn colId="2" hiddenButton="1"/>
    <filterColumn colId="3" hiddenButton="1"/>
  </autoFilter>
  <tableColumns count="4">
    <tableColumn id="1" xr3:uid="{D72778B6-60A0-4C82-A9C4-09C53A47470B}" name="Candidate Name (Party)" totalsRowLabel="Total Votes by County" dataDxfId="704" totalsRowDxfId="703"/>
    <tableColumn id="4" xr3:uid="{3466C3C3-0CD2-4F8C-BBD4-62BBC419B6E9}" name="Part of Dutchess County Vote Results" totalsRowFunction="custom" dataDxfId="702" totalsRowDxfId="701">
      <totalsRowFormula>SUBTOTAL(109,GovByAssemblyDistrict105General[Total Votes by Candidate])</totalsRowFormula>
    </tableColumn>
    <tableColumn id="3" xr3:uid="{162B322C-62AA-4C00-8619-C9A2D9799126}" name="Total Votes by Party" dataDxfId="700" totalsRowDxfId="699">
      <calculatedColumnFormula>GovByAssemblyDistrict105General[[#This Row],[Part of Dutchess County Vote Results]]</calculatedColumnFormula>
    </tableColumn>
    <tableColumn id="2" xr3:uid="{CB0D4789-1A69-4007-8800-4D95CFC4AFF4}" name="Total Votes by Candidate" dataDxfId="698" totalsRowDxfId="697"/>
  </tableColumns>
  <tableStyleInfo name="TableStyleMedium2" showFirstColumn="0" showLastColumn="0" showRowStripes="0" showColumnStripes="0"/>
</table>
</file>

<file path=xl/tables/table10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1" xr:uid="{0FE5669A-349D-41A1-94E8-B9DB80327D28}" name="GovByAssemblyDistrict106General" displayName="GovByAssemblyDistrict106General" ref="A2:E16" totalsRowCount="1" headerRowDxfId="696" dataDxfId="694" headerRowBorderDxfId="695" tableBorderDxfId="693" totalsRowBorderDxfId="692">
  <autoFilter ref="A2:E15" xr:uid="{85E6215B-0F5D-4011-80BB-522205C79DBF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AFF33237-6355-412B-B300-2A08E8B541BB}" name="Candidate Name (Party)" totalsRowLabel="Total Votes by County" dataDxfId="691" totalsRowDxfId="690"/>
    <tableColumn id="2" xr3:uid="{115DA282-15BB-4341-AD00-1D283827C3C7}" name="Part of Columbia County Vote Results" totalsRowFunction="sum" dataDxfId="689" totalsRowDxfId="688"/>
    <tableColumn id="4" xr3:uid="{83F858F7-12BA-4DF4-9C00-3227EB7F4F38}" name="Part of Dutchess County Vote Results" totalsRowFunction="sum" dataDxfId="687" totalsRowDxfId="686"/>
    <tableColumn id="3" xr3:uid="{11A7AFD0-E28D-4AC2-A26A-C16B6707EAE0}" name="Total Votes by Party" dataDxfId="685" totalsRowDxfId="684">
      <calculatedColumnFormula>SUM(GovByAssemblyDistrict106General[[#This Row],[Part of Columbia County Vote Results]:[Part of Dutchess County Vote Results]])</calculatedColumnFormula>
    </tableColumn>
    <tableColumn id="5" xr3:uid="{ADDBACD9-B5D1-4594-BF8C-88502DC3C6CB}" name="Total Votes by Candidate" dataDxfId="683" totalsRowDxfId="682"/>
  </tableColumns>
  <tableStyleInfo name="TableStyleMedium2" showFirstColumn="0" showLastColumn="0" showRowStripes="0" showColumnStripes="0"/>
</table>
</file>

<file path=xl/tables/table10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2" xr:uid="{A0890465-5AED-43B7-B7A0-C750A75E40AD}" name="GovByAssemblyDistrict107General" displayName="GovByAssemblyDistrict107General" ref="A2:F16" totalsRowCount="1" headerRowDxfId="681" dataDxfId="679" headerRowBorderDxfId="680" tableBorderDxfId="678" totalsRowBorderDxfId="677">
  <autoFilter ref="A2:F15" xr:uid="{1676A2EE-9B74-4916-987A-7776E3C4E08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84BB0FFA-AE76-4C31-86D8-C2155E914C86}" name="Candidate Name (Party)" totalsRowLabel="Total Votes by County" dataDxfId="676" totalsRowDxfId="675"/>
    <tableColumn id="2" xr3:uid="{47AEF521-D02C-4A27-8BF4-995FC61CA50B}" name="Part of Columbia County Vote Results" totalsRowFunction="sum" dataDxfId="674" totalsRowDxfId="673"/>
    <tableColumn id="3" xr3:uid="{EA324148-8ED0-43BB-A4AB-AFDA6D782FF3}" name="Part of Rensselaer County Vote Results" dataDxfId="672" totalsRowDxfId="671"/>
    <tableColumn id="4" xr3:uid="{627937D8-D461-46E9-A79E-101F9D6E1062}" name="Part of Washington County Vote Results" totalsRowFunction="sum" dataDxfId="670" totalsRowDxfId="669"/>
    <tableColumn id="6" xr3:uid="{B5BE3836-9405-4776-8D02-CB29AA98B8FE}" name="Total Votes by Party" dataDxfId="668" totalsRowDxfId="667">
      <calculatedColumnFormula>SUM(GovByAssemblyDistrict107General[[#This Row],[Part of Columbia County Vote Results]:[Part of Washington County Vote Results]])</calculatedColumnFormula>
    </tableColumn>
    <tableColumn id="5" xr3:uid="{DC0B2685-FF79-480C-92D9-03FF41834164}" name="Total Votes by Candidate" dataDxfId="666" totalsRowDxfId="665"/>
  </tableColumns>
  <tableStyleInfo name="TableStyleMedium2" showFirstColumn="0" showLastColumn="0" showRowStripes="0" showColumnStripes="0"/>
</table>
</file>

<file path=xl/tables/table10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3" xr:uid="{5BB094EA-70D4-4492-BF29-BA15FBBBA84A}" name="GovByAssemblyDistrict108General" displayName="GovByAssemblyDistrict108General" ref="A2:F16" totalsRowCount="1" headerRowDxfId="664" dataDxfId="662" headerRowBorderDxfId="663" tableBorderDxfId="661" totalsRowBorderDxfId="660">
  <autoFilter ref="A2:F15" xr:uid="{CA915D52-5320-4CF8-86F3-AA3E4DD4C24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9CF53394-03E4-4D5A-B5A9-5663F97EB1ED}" name="Candidate Name (Party)" totalsRowLabel="Total Votes by County" dataDxfId="659" totalsRowDxfId="658"/>
    <tableColumn id="2" xr3:uid="{CF01F8B5-6995-48C4-A3BD-6911B8C66463}" name="Part of Albany County Vote Results" totalsRowFunction="sum" dataDxfId="657" totalsRowDxfId="656"/>
    <tableColumn id="3" xr3:uid="{F8E25BE2-CC85-49CC-8A42-1BBC8440AA8D}" name="Part of Rensselaer County Vote Results" dataDxfId="655" totalsRowDxfId="654"/>
    <tableColumn id="4" xr3:uid="{AD596BB6-5CAA-4543-95FE-617A563CB7A2}" name="Part of Saratoga County Vote Results" totalsRowFunction="sum" dataDxfId="653" totalsRowDxfId="652"/>
    <tableColumn id="6" xr3:uid="{D1BF3CDE-8DB4-46E3-9EC2-A7228EC6F961}" name="Total Votes by Party" dataDxfId="651" totalsRowDxfId="650">
      <calculatedColumnFormula>SUM(GovByAssemblyDistrict108General[[#This Row],[Part of Albany County Vote Results]:[Part of Saratoga County Vote Results]])</calculatedColumnFormula>
    </tableColumn>
    <tableColumn id="5" xr3:uid="{24FA1C77-F5C6-46E3-A5D1-6A5E79901D77}" name="Total Votes by Candidate" dataDxfId="649" totalsRowDxfId="648"/>
  </tableColumns>
  <tableStyleInfo name="TableStyleMedium2" showFirstColumn="0" showLastColumn="0" showRowStripes="0" showColumnStripes="0"/>
</table>
</file>

<file path=xl/tables/table10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4" xr:uid="{760F27AD-7207-4A21-8530-4EE6B42044E2}" name="GovByAssemblyDistrict109General" displayName="GovByAssemblyDistrict109General" ref="A2:D16" totalsRowCount="1" headerRowDxfId="647" dataDxfId="645" headerRowBorderDxfId="646" tableBorderDxfId="644" totalsRowBorderDxfId="643">
  <autoFilter ref="A2:D15" xr:uid="{3DF9B5B9-6749-44BB-A4DD-593CF37D9673}">
    <filterColumn colId="0" hiddenButton="1"/>
    <filterColumn colId="1" hiddenButton="1"/>
    <filterColumn colId="2" hiddenButton="1"/>
    <filterColumn colId="3" hiddenButton="1"/>
  </autoFilter>
  <tableColumns count="4">
    <tableColumn id="1" xr3:uid="{7FE04E8C-12B5-48BA-AD60-B1F21727A134}" name="Candidate Name (Party)" totalsRowLabel="Total Votes by County" dataDxfId="642" totalsRowDxfId="641"/>
    <tableColumn id="4" xr3:uid="{6B161879-8FEF-49AC-90DA-6BB0F789C045}" name="Part of Albany County Vote Results" totalsRowFunction="custom" dataDxfId="640" totalsRowDxfId="639">
      <totalsRowFormula>SUBTOTAL(109,GovByAssemblyDistrict109General[Total Votes by Candidate])</totalsRowFormula>
    </tableColumn>
    <tableColumn id="3" xr3:uid="{5A6F2546-2B95-409D-A0A5-0C2BFA36D3EC}" name="Total Votes by Party" dataDxfId="638" totalsRowDxfId="637">
      <calculatedColumnFormula>GovByAssemblyDistrict109General[[#This Row],[Part of Albany County Vote Results]]</calculatedColumnFormula>
    </tableColumn>
    <tableColumn id="2" xr3:uid="{B3D6875F-6473-42DD-9BC5-BDE2EC2ECA2C}" name="Total Votes by Candidate" dataDxfId="636" totalsRowDxfId="635"/>
  </tableColumns>
  <tableStyleInfo name="TableStyleMedium2" showFirstColumn="0" showLastColumn="0" showRowStripes="0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9F888B6D-EEEB-4BB8-8C1C-D63441A9EB8F}" name="GovByAssemblyDistrict11General" displayName="GovByAssemblyDistrict11General" ref="A2:D16" totalsRowCount="1" headerRowDxfId="1973" dataDxfId="1971" headerRowBorderDxfId="1972" tableBorderDxfId="1970" totalsRowBorderDxfId="1969">
  <autoFilter ref="A2:D15" xr:uid="{A6D243FF-E039-493A-A622-1A652758D5A0}">
    <filterColumn colId="0" hiddenButton="1"/>
    <filterColumn colId="1" hiddenButton="1"/>
    <filterColumn colId="2" hiddenButton="1"/>
    <filterColumn colId="3" hiddenButton="1"/>
  </autoFilter>
  <tableColumns count="4">
    <tableColumn id="1" xr3:uid="{C3527F80-C8DC-4B8B-97CD-7F45AC9B909A}" name="Candidate Name (Party)" totalsRowLabel="Total Votes by County" dataDxfId="1968" totalsRowDxfId="1967"/>
    <tableColumn id="4" xr3:uid="{5D83358B-4E46-4695-94B2-33D3971267C4}" name="Part of Suffolk County Vote Results" totalsRowFunction="custom" dataDxfId="1966" totalsRowDxfId="1965">
      <totalsRowFormula>SUBTOTAL(109,GovByAssemblyDistrict11General[Total Votes by Candidate])</totalsRowFormula>
    </tableColumn>
    <tableColumn id="3" xr3:uid="{1DF6D0EE-63A2-451D-9BA8-C63F7B58FBB2}" name="Total Votes by Party" dataDxfId="1964" totalsRowDxfId="1963">
      <calculatedColumnFormula>GovByAssemblyDistrict11General[[#This Row],[Part of Suffolk County Vote Results]]</calculatedColumnFormula>
    </tableColumn>
    <tableColumn id="2" xr3:uid="{C7CCB29E-A0F8-4F93-95E6-402C9BEC098C}" name="Total Votes by Candidate" dataDxfId="1962" totalsRowDxfId="1961"/>
  </tableColumns>
  <tableStyleInfo name="TableStyleMedium2" showFirstColumn="0" showLastColumn="0" showRowStripes="0" showColumnStripes="0"/>
</table>
</file>

<file path=xl/tables/table1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5" xr:uid="{548F11AD-9383-4362-85FC-06D3E346094A}" name="GovByAssemblyDistrict110General" displayName="GovByAssemblyDistrict110General" ref="A2:E16" totalsRowCount="1" headerRowDxfId="634" dataDxfId="632" headerRowBorderDxfId="633" tableBorderDxfId="631" totalsRowBorderDxfId="630">
  <autoFilter ref="A2:E15" xr:uid="{4A1D62AD-2A87-4730-A2E4-EDCD4C069843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AA7B12C8-D4B3-4078-AAA0-7764612D9C2A}" name="Candidate Name (Party)" totalsRowLabel="Total Votes by County" dataDxfId="629" totalsRowDxfId="628"/>
    <tableColumn id="2" xr3:uid="{352183E0-B425-453B-B8FB-4F95FF9E3CDB}" name="Part of Albany County Vote Results" totalsRowFunction="sum" dataDxfId="627" totalsRowDxfId="626"/>
    <tableColumn id="4" xr3:uid="{28086C44-8C69-4552-901C-9BDDE2757968}" name="Part of Schenectady County Vote Results" totalsRowFunction="sum" dataDxfId="625" totalsRowDxfId="624"/>
    <tableColumn id="3" xr3:uid="{E9EB4AA2-3B83-4C5E-91E7-5840CEAC6C09}" name="Total Votes by Party" dataDxfId="623" totalsRowDxfId="622">
      <calculatedColumnFormula>SUM(GovByAssemblyDistrict110General[[#This Row],[Part of Albany County Vote Results]:[Part of Schenectady County Vote Results]])</calculatedColumnFormula>
    </tableColumn>
    <tableColumn id="5" xr3:uid="{95DE985D-1D12-442D-8887-98339E41F587}" name="Total Votes by Candidate" dataDxfId="621" totalsRowDxfId="620"/>
  </tableColumns>
  <tableStyleInfo name="TableStyleMedium2" showFirstColumn="0" showLastColumn="0" showRowStripes="0" showColumnStripes="0"/>
</table>
</file>

<file path=xl/tables/table1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6" xr:uid="{5507EFBE-52D2-44C4-B309-C7BB940D2E2D}" name="GovByAssemblyDistrict111General" displayName="GovByAssemblyDistrict111General" ref="A2:F16" totalsRowCount="1" headerRowDxfId="619" dataDxfId="617" headerRowBorderDxfId="618" tableBorderDxfId="616" totalsRowBorderDxfId="615">
  <autoFilter ref="A2:F15" xr:uid="{62901BA0-E431-4648-B5F5-AC9238C4F0C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74780A2C-E589-4E7F-9AAD-679330458B42}" name="Candidate Name (Party)" totalsRowLabel="Total Votes by County" dataDxfId="614" totalsRowDxfId="613"/>
    <tableColumn id="2" xr3:uid="{9D519AF7-37C9-4581-BF8B-DFCEB77BBC8C}" name="Montgomery County Vote Results" totalsRowFunction="sum" dataDxfId="612" totalsRowDxfId="611"/>
    <tableColumn id="3" xr3:uid="{7E2EC47A-67D2-417A-95CA-C43E59F0F778}" name="Part of Albany County Vote Results" dataDxfId="610" totalsRowDxfId="609"/>
    <tableColumn id="4" xr3:uid="{5D743CFF-7039-4071-87C6-D4E2E0F86624}" name="Part of Schenectady County Vote Results" totalsRowFunction="sum" dataDxfId="608" totalsRowDxfId="607"/>
    <tableColumn id="6" xr3:uid="{2A41531D-CC00-4D92-8CAB-FCF8CA15ABDB}" name="Total Votes by Party" dataDxfId="606" totalsRowDxfId="605">
      <calculatedColumnFormula>SUM(GovByAssemblyDistrict111General[[#This Row],[Montgomery County Vote Results]:[Part of Schenectady County Vote Results]])</calculatedColumnFormula>
    </tableColumn>
    <tableColumn id="5" xr3:uid="{8F268FBD-BAAD-4BE5-ADDF-91FC432676C1}" name="Total Votes by Candidate" dataDxfId="604" totalsRowDxfId="603"/>
  </tableColumns>
  <tableStyleInfo name="TableStyleMedium2" showFirstColumn="0" showLastColumn="0" showRowStripes="0" showColumnStripes="0"/>
</table>
</file>

<file path=xl/tables/table1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7" xr:uid="{4991991D-A093-4F7E-942D-069899F69EDE}" name="GovByAssemblyDistrict112General" displayName="GovByAssemblyDistrict112General" ref="A2:E16" totalsRowCount="1" headerRowDxfId="602" dataDxfId="600" headerRowBorderDxfId="601" tableBorderDxfId="599" totalsRowBorderDxfId="598">
  <autoFilter ref="A2:E15" xr:uid="{D33B6E23-F190-4891-B693-32020124C5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798DB9E5-BC5F-45A5-B2D5-43280BC8D7B8}" name="Candidate Name (Party)" totalsRowLabel="Total Votes by County" dataDxfId="597" totalsRowDxfId="596"/>
    <tableColumn id="2" xr3:uid="{733E3710-11CE-46AB-9BF0-BE126E7CFBEB}" name="Part of Saratoga County Vote Results" totalsRowFunction="sum" dataDxfId="595" totalsRowDxfId="594"/>
    <tableColumn id="4" xr3:uid="{B0516AE3-767D-49E2-97A6-076AFAB92ED9}" name="Part of Schenectady County Vote Results" totalsRowFunction="sum" dataDxfId="593" totalsRowDxfId="592"/>
    <tableColumn id="3" xr3:uid="{6F96A2B8-45B2-4F3C-8F90-217DD2B5E903}" name="Total Votes by Party" dataDxfId="591" totalsRowDxfId="590">
      <calculatedColumnFormula>SUM(GovByAssemblyDistrict112General[[#This Row],[Part of Saratoga County Vote Results]:[Part of Schenectady County Vote Results]])</calculatedColumnFormula>
    </tableColumn>
    <tableColumn id="5" xr3:uid="{4DFCFFA4-B8D5-4799-9A10-D47E461B0824}" name="Total Votes by Candidate" dataDxfId="589" totalsRowDxfId="588"/>
  </tableColumns>
  <tableStyleInfo name="TableStyleMedium2" showFirstColumn="0" showLastColumn="0" showRowStripes="0" showColumnStripes="0"/>
</table>
</file>

<file path=xl/tables/table1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8" xr:uid="{B2F3B4F4-45B3-43B0-8747-6475FA3B9580}" name="GovByAssemblyDistrict113General" displayName="GovByAssemblyDistrict113General" ref="A2:E16" totalsRowCount="1" headerRowDxfId="587" dataDxfId="585" headerRowBorderDxfId="586" tableBorderDxfId="584" totalsRowBorderDxfId="583">
  <autoFilter ref="A2:E15" xr:uid="{8262AC33-940D-47FB-AA5C-F65D1032DD56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98A5B1FC-9784-4426-84D5-1E0BA128DE5A}" name="Candidate Name (Party)" totalsRowLabel="Total Votes by County" dataDxfId="582" totalsRowDxfId="581"/>
    <tableColumn id="2" xr3:uid="{942D5B67-8A78-4017-99F1-BF374BC0B6AF}" name="Part of Saratoga County Vote Results" totalsRowFunction="sum" dataDxfId="580" totalsRowDxfId="579"/>
    <tableColumn id="4" xr3:uid="{9BE467B3-CCB9-4A8F-B8F0-FB0932C90AD1}" name="Part of Washington County Vote Results" totalsRowFunction="sum" dataDxfId="578" totalsRowDxfId="577"/>
    <tableColumn id="3" xr3:uid="{74E71B26-8137-4FE2-9A97-9322D8F6B649}" name="Total Votes by Party" dataDxfId="576" totalsRowDxfId="575">
      <calculatedColumnFormula>SUM(GovByAssemblyDistrict113General[[#This Row],[Part of Saratoga County Vote Results]:[Part of Washington County Vote Results]])</calculatedColumnFormula>
    </tableColumn>
    <tableColumn id="5" xr3:uid="{2A3CDA3E-1AEC-42C8-8569-7A61C8CE7E3B}" name="Total Votes by Candidate" dataDxfId="574" totalsRowDxfId="573"/>
  </tableColumns>
  <tableStyleInfo name="TableStyleMedium2" showFirstColumn="0" showLastColumn="0" showRowStripes="0" showColumnStripes="0"/>
</table>
</file>

<file path=xl/tables/table1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9" xr:uid="{1679E759-89F0-473F-853F-674B033893C1}" name="GovByAssemblyDistrict114General" displayName="GovByAssemblyDistrict114General" ref="A2:G16" totalsRowCount="1" headerRowDxfId="572" dataDxfId="570" headerRowBorderDxfId="571" tableBorderDxfId="569" totalsRowBorderDxfId="568">
  <autoFilter ref="A2:G15" xr:uid="{0F598D89-A0A9-4169-90E2-FD625AD6D2D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CDBA6364-39B3-4B82-8062-BF29995DB6CE}" name="Candidate Name (Party)" totalsRowLabel="Total Votes by County" dataDxfId="567" totalsRowDxfId="566"/>
    <tableColumn id="2" xr3:uid="{0B73C635-462E-41CD-858E-CAD8D8224001}" name="Essex County Vote Results" totalsRowFunction="sum" dataDxfId="565" totalsRowDxfId="564"/>
    <tableColumn id="6" xr3:uid="{E5788D52-884F-4626-B098-DC15C8A3A214}" name="Warren County Vote Results" dataDxfId="563" totalsRowDxfId="562"/>
    <tableColumn id="3" xr3:uid="{0EBE4C88-46F6-4679-953B-F07F254831C7}" name="Part of Saratoga County Vote Results" dataDxfId="561" totalsRowDxfId="560"/>
    <tableColumn id="4" xr3:uid="{BF1B50FD-508A-4F7F-8EAC-69E443794844}" name="Part of Washington County Vote Results" totalsRowFunction="sum" dataDxfId="559" totalsRowDxfId="558"/>
    <tableColumn id="7" xr3:uid="{D0A50D16-294B-4069-8C2C-0EF93C31B081}" name="Total Votes by Party" dataDxfId="557" totalsRowDxfId="556">
      <calculatedColumnFormula>SUM(GovByAssemblyDistrict114General[[#This Row],[Essex County Vote Results]:[Part of Washington County Vote Results]])</calculatedColumnFormula>
    </tableColumn>
    <tableColumn id="5" xr3:uid="{4909B0B3-EE2D-4191-B23B-224EA0134237}" name="Total Votes by Candidate" dataDxfId="555" totalsRowDxfId="554"/>
  </tableColumns>
  <tableStyleInfo name="TableStyleMedium2" showFirstColumn="0" showLastColumn="0" showRowStripes="0" showColumnStripes="0"/>
</table>
</file>

<file path=xl/tables/table1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0" xr:uid="{41D1C793-D2B8-4D78-9491-F492F8E83CDF}" name="GovByAssemblyDistrict115General" displayName="GovByAssemblyDistrict115General" ref="A2:F16" totalsRowCount="1" headerRowDxfId="553" dataDxfId="551" headerRowBorderDxfId="552" tableBorderDxfId="550" totalsRowBorderDxfId="549">
  <autoFilter ref="A2:F15" xr:uid="{7DBBFA09-7FF9-47E4-806A-98C5FC6C640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3375E1CC-F7E9-4095-854D-8C2B0B47FF62}" name="Candidate Name (Party)" totalsRowLabel="Total Votes by County" dataDxfId="548" totalsRowDxfId="547"/>
    <tableColumn id="2" xr3:uid="{B2E62253-8C44-4970-985F-76277222CC79}" name="Clinton County Vote Results" totalsRowFunction="sum" dataDxfId="546" totalsRowDxfId="545"/>
    <tableColumn id="3" xr3:uid="{50E3B9AE-118D-4B18-8DC0-2110105458C5}" name="Franklin County Vote Results" dataDxfId="544" totalsRowDxfId="543"/>
    <tableColumn id="4" xr3:uid="{C4E31D56-0B09-4D9E-AE72-65974AADE4F8}" name="Part of St. Lawrence County Vote Results" totalsRowFunction="sum" dataDxfId="542" totalsRowDxfId="541"/>
    <tableColumn id="6" xr3:uid="{201FBB0D-6F92-42DB-9C2F-D722E4582D9C}" name="Total Votes by Party" dataDxfId="540" totalsRowDxfId="539">
      <calculatedColumnFormula>SUM(GovByAssemblyDistrict115General[[#This Row],[Clinton County Vote Results]:[Part of St. Lawrence County Vote Results]])</calculatedColumnFormula>
    </tableColumn>
    <tableColumn id="5" xr3:uid="{624C8471-59FE-4DBE-8B54-1411BC83A83F}" name="Total Votes by Candidate" dataDxfId="538" totalsRowDxfId="537"/>
  </tableColumns>
  <tableStyleInfo name="TableStyleMedium2" showFirstColumn="0" showLastColumn="0" showRowStripes="0" showColumnStripes="0"/>
</table>
</file>

<file path=xl/tables/table1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1" xr:uid="{F450ADA8-A32A-4B6B-BE53-A348C5F0CBB9}" name="GovByAssemblyDistrict116General" displayName="GovByAssemblyDistrict116General" ref="A2:E16" totalsRowCount="1" headerRowDxfId="536" dataDxfId="534" headerRowBorderDxfId="535" tableBorderDxfId="533" totalsRowBorderDxfId="532">
  <autoFilter ref="A2:E15" xr:uid="{E41B4E6C-BD2A-4CA0-86BC-E0BA8AFADEA9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D9B53E32-5468-4528-A7E1-07134795E640}" name="Candidate Name (Party)" totalsRowLabel="Total Votes by County" dataDxfId="531" totalsRowDxfId="530"/>
    <tableColumn id="2" xr3:uid="{752D13EA-0311-4994-8ECF-F43825A07C9C}" name="Part of Jefferson County Vote Results" totalsRowFunction="sum" dataDxfId="529" totalsRowDxfId="528"/>
    <tableColumn id="4" xr3:uid="{FF002D53-BFDB-4494-B257-F199C8C44A3C}" name="Part of St. Lawrence County Vote Results" totalsRowFunction="sum" dataDxfId="527" totalsRowDxfId="526"/>
    <tableColumn id="3" xr3:uid="{EC9B67B9-CEB4-45FD-AFF4-B4FE27893A7B}" name="Total Votes by Party" dataDxfId="525" totalsRowDxfId="524">
      <calculatedColumnFormula>SUM(GovByAssemblyDistrict116General[[#This Row],[Part of Jefferson County Vote Results]:[Part of St. Lawrence County Vote Results]])</calculatedColumnFormula>
    </tableColumn>
    <tableColumn id="5" xr3:uid="{0A1153D0-ADD4-4C40-ABBB-95FB4CA90A45}" name="Total Votes by Candidate" dataDxfId="523" totalsRowDxfId="522"/>
  </tableColumns>
  <tableStyleInfo name="TableStyleMedium2" showFirstColumn="0" showLastColumn="0" showRowStripes="0" showColumnStripes="0"/>
</table>
</file>

<file path=xl/tables/table1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2" xr:uid="{3DA18537-8757-4FBC-9994-BE6FB7165452}" name="GovByAssemblyDistrict117General" displayName="GovByAssemblyDistrict117General" ref="A2:G16" totalsRowCount="1" headerRowDxfId="521" dataDxfId="519" headerRowBorderDxfId="520" tableBorderDxfId="518" totalsRowBorderDxfId="517">
  <autoFilter ref="A2:G15" xr:uid="{DFE687CB-7612-414D-B7B2-0A31D6342C5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C8B2BA27-93C6-4C23-8886-61FA61D47C8D}" name="Candidate Name (Party)" totalsRowLabel="Total Votes by County" dataDxfId="516" totalsRowDxfId="515"/>
    <tableColumn id="2" xr3:uid="{24F828F0-4E28-402D-8EE7-FBB14C53BD83}" name="Lewis County Vote Results" totalsRowFunction="sum" dataDxfId="514" totalsRowDxfId="513"/>
    <tableColumn id="6" xr3:uid="{019F9488-15AE-48B4-B6B8-3232DF0CBE2F}" name="Part of Jefferson County Vote Results" dataDxfId="512" totalsRowDxfId="511"/>
    <tableColumn id="3" xr3:uid="{335FAEC2-C882-4FEF-BE17-F65BD61BD2D8}" name="Part of Oneida County Vote Results" dataDxfId="510" totalsRowDxfId="509"/>
    <tableColumn id="4" xr3:uid="{FE03BFEA-6FDD-4DBB-B2B8-654711DB821F}" name="Part of St. Lawrence County Vote Results" totalsRowFunction="sum" dataDxfId="508" totalsRowDxfId="507"/>
    <tableColumn id="7" xr3:uid="{FE266374-226D-46EC-9040-FBB953CE5E45}" name="Total Votes by Party" dataDxfId="506" totalsRowDxfId="505">
      <calculatedColumnFormula>SUM(GovByAssemblyDistrict117General[[#This Row],[Lewis County Vote Results]:[Part of St. Lawrence County Vote Results]])</calculatedColumnFormula>
    </tableColumn>
    <tableColumn id="5" xr3:uid="{C1D8EDAB-428D-443A-AC03-33768CFC0227}" name="Total Votes by Candidate" dataDxfId="504" totalsRowDxfId="503"/>
  </tableColumns>
  <tableStyleInfo name="TableStyleMedium2" showFirstColumn="0" showLastColumn="0" showRowStripes="0" showColumnStripes="0"/>
</table>
</file>

<file path=xl/tables/table1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9" xr:uid="{403A5BE2-77F7-47D7-A20A-356C309F42E3}" name="GovByAssemblyDistrict118General" displayName="GovByAssemblyDistrict118General" ref="A2:H16" totalsRowCount="1" headerRowDxfId="502" dataDxfId="500" headerRowBorderDxfId="501" tableBorderDxfId="499" totalsRowBorderDxfId="498">
  <autoFilter ref="A2:H15" xr:uid="{E70B3678-8F74-47F2-A1FC-8320B64E5B4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5FD23823-C56B-42CD-ADC1-C83FD85EC608}" name="Candidate Name (Party)" totalsRowLabel="Total Votes by County" dataDxfId="497" totalsRowDxfId="496"/>
    <tableColumn id="2" xr3:uid="{8CFD45D6-0C66-46AE-B3BD-78FC95EE0B40}" name="Fulton County Vote Results" totalsRowFunction="sum" dataDxfId="495" totalsRowDxfId="494"/>
    <tableColumn id="6" xr3:uid="{4118DC2D-8AA7-4A04-AC90-11CBE017A8C0}" name="Hamilton County Vote Results" dataDxfId="493" totalsRowDxfId="492"/>
    <tableColumn id="7" xr3:uid="{B9D3A5AF-FD98-4DC8-ABDC-5A8F2165D3CD}" name="Part of Herkimer County Vote Results" dataDxfId="491" totalsRowDxfId="490"/>
    <tableColumn id="3" xr3:uid="{8F54A463-4F2F-4784-8BFD-6E988B42E81A}" name="Part of Oneida County Vote Results" dataDxfId="489" totalsRowDxfId="488"/>
    <tableColumn id="4" xr3:uid="{6B2841C1-A19D-4DC5-AE39-F1860464EE48}" name="Part of St. Lawrence County Vote Results" totalsRowFunction="sum" dataDxfId="487" totalsRowDxfId="486"/>
    <tableColumn id="8" xr3:uid="{5F7C8BC8-432F-4D5B-8BFE-3A77F3146CF4}" name="Total Votes by Party" dataDxfId="485" totalsRowDxfId="484">
      <calculatedColumnFormula>SUM(GovByAssemblyDistrict118General[[#This Row],[Fulton County Vote Results]:[Part of St. Lawrence County Vote Results]])</calculatedColumnFormula>
    </tableColumn>
    <tableColumn id="5" xr3:uid="{BEE7D0C4-3077-47AF-B216-2FAC3C992942}" name="Total Votes by Candidate" dataDxfId="483" totalsRowDxfId="482"/>
  </tableColumns>
  <tableStyleInfo name="TableStyleMedium2" showFirstColumn="0" showLastColumn="0" showRowStripes="0" showColumnStripes="0"/>
</table>
</file>

<file path=xl/tables/table1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3" xr:uid="{C9A23E6E-761D-4407-99EF-DFA5F1436A94}" name="GovByAssemblyDistrict119General" displayName="GovByAssemblyDistrict119General" ref="A2:E16" totalsRowCount="1" headerRowDxfId="481" dataDxfId="479" headerRowBorderDxfId="480" tableBorderDxfId="478" totalsRowBorderDxfId="477">
  <autoFilter ref="A2:E15" xr:uid="{8B2BA972-C2F4-4DF8-B39F-CB7182C13FFD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91639A68-BB6F-4B06-9160-EEFE032F7C57}" name="Candidate Name (Party)" totalsRowLabel="Total Votes by County" dataDxfId="476" totalsRowDxfId="475"/>
    <tableColumn id="2" xr3:uid="{A431180E-2B63-4665-8B6A-2A9E09FF4721}" name="Part of Herkimer County Vote Results" totalsRowFunction="sum" dataDxfId="474" totalsRowDxfId="473"/>
    <tableColumn id="4" xr3:uid="{E1EE05FF-C359-4EDD-B1AD-0282E87F9B90}" name="Part of Oneida County Vote Results" totalsRowFunction="sum" dataDxfId="472" totalsRowDxfId="471"/>
    <tableColumn id="3" xr3:uid="{3B5072ED-0848-41CF-84F8-C4F9BA1812DD}" name="Total Votes by Party" dataDxfId="470" totalsRowDxfId="469">
      <calculatedColumnFormula>SUM(GovByAssemblyDistrict119General[[#This Row],[Part of Herkimer County Vote Results]:[Part of Oneida County Vote Results]])</calculatedColumnFormula>
    </tableColumn>
    <tableColumn id="5" xr3:uid="{00E7CCC5-F3F4-447B-BCF5-E8147EF1F2AC}" name="Total Votes by Candidate" dataDxfId="468" totalsRowDxfId="467"/>
  </tableColumns>
  <tableStyleInfo name="TableStyleMedium2" showFirstColumn="0" showLastColumn="0" showRowStripes="0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1A1D9688-FC7E-4018-ADF5-759F477E986E}" name="GovByAssemblyDistrict12General" displayName="GovByAssemblyDistrict12General" ref="A2:D16" totalsRowCount="1" headerRowDxfId="1960" dataDxfId="1958" headerRowBorderDxfId="1959" tableBorderDxfId="1957" totalsRowBorderDxfId="1956">
  <autoFilter ref="A2:D15" xr:uid="{A69F5635-4F01-4CA6-A14C-16A92D262442}">
    <filterColumn colId="0" hiddenButton="1"/>
    <filterColumn colId="1" hiddenButton="1"/>
    <filterColumn colId="2" hiddenButton="1"/>
    <filterColumn colId="3" hiddenButton="1"/>
  </autoFilter>
  <tableColumns count="4">
    <tableColumn id="1" xr3:uid="{4C852D1B-A0E7-435A-B97C-27D794C9F7AA}" name="Candidate Name (Party)" totalsRowLabel="Total Votes by County" dataDxfId="1955" totalsRowDxfId="1954"/>
    <tableColumn id="4" xr3:uid="{3B1743FC-73B4-436F-9548-6758BB2BEEF1}" name="Part of Suffolk County Vote Results" totalsRowFunction="custom" dataDxfId="1953" totalsRowDxfId="1952">
      <totalsRowFormula>SUBTOTAL(109,GovByAssemblyDistrict12General[Total Votes by Candidate])</totalsRowFormula>
    </tableColumn>
    <tableColumn id="3" xr3:uid="{2A659B73-73E4-4B79-8388-7A8C7E5C8767}" name="Total Votes by Party" dataDxfId="1951" totalsRowDxfId="1950">
      <calculatedColumnFormula>GovByAssemblyDistrict12General[[#This Row],[Part of Suffolk County Vote Results]]</calculatedColumnFormula>
    </tableColumn>
    <tableColumn id="2" xr3:uid="{CD13D839-0973-4F2B-A7F6-24E810606532}" name="Total Votes by Candidate" dataDxfId="1949" totalsRowDxfId="1948"/>
  </tableColumns>
  <tableStyleInfo name="TableStyleMedium2" showFirstColumn="0" showLastColumn="0" showRowStripes="0" showColumnStripes="0"/>
</table>
</file>

<file path=xl/tables/table1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4" xr:uid="{90C62D82-F5F1-48F4-AC70-7FEABBE1AB09}" name="GovByAssemblyDistrict120General" displayName="GovByAssemblyDistrict120General" ref="A2:F16" totalsRowCount="1" headerRowDxfId="466" dataDxfId="464" headerRowBorderDxfId="465" tableBorderDxfId="463" totalsRowBorderDxfId="462">
  <autoFilter ref="A2:F15" xr:uid="{EC0ABD60-1374-4579-98D1-822C41B81BE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B4EF599D-C778-4626-B34D-CA044ED3BEF9}" name="Candidate Name (Party)" totalsRowLabel="Total Votes by County" dataDxfId="461" totalsRowDxfId="460"/>
    <tableColumn id="2" xr3:uid="{66EF1F09-5439-41C7-B8C6-D203215C21E5}" name="Part of Jefferson County Vote Results" totalsRowFunction="sum" dataDxfId="459" totalsRowDxfId="458"/>
    <tableColumn id="3" xr3:uid="{1B17F742-E290-499C-BCC3-DB34CF70C98F}" name="Part of Onondaga County Vote Results" dataDxfId="457" totalsRowDxfId="456"/>
    <tableColumn id="4" xr3:uid="{8F660D6A-0B16-4D33-B428-83225560F303}" name="Part of Oswego County Vote Results" totalsRowFunction="sum" dataDxfId="455" totalsRowDxfId="454"/>
    <tableColumn id="6" xr3:uid="{688D1DC9-06E7-4DF0-9380-5751B7F4AECF}" name="Total Votes by Party" dataDxfId="453" totalsRowDxfId="452">
      <calculatedColumnFormula>SUM(GovByAssemblyDistrict120General[[#This Row],[Part of Jefferson County Vote Results]:[Part of Oswego County Vote Results]])</calculatedColumnFormula>
    </tableColumn>
    <tableColumn id="5" xr3:uid="{CE6D270E-7343-4A50-9120-35F1A72F2683}" name="Total Votes by Candidate" dataDxfId="451" totalsRowDxfId="450"/>
  </tableColumns>
  <tableStyleInfo name="TableStyleMedium2" showFirstColumn="0" showLastColumn="0" showRowStripes="0" showColumnStripes="0"/>
</table>
</file>

<file path=xl/tables/table1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5" xr:uid="{23765194-E355-4036-BA0E-4E26668831CD}" name="GovByAssemblyDistrict121General" displayName="GovByAssemblyDistrict121General" ref="A2:F16" totalsRowCount="1" headerRowDxfId="449" dataDxfId="447" headerRowBorderDxfId="448" tableBorderDxfId="446" totalsRowBorderDxfId="445">
  <autoFilter ref="A2:F15" xr:uid="{930CF953-E256-44A5-8ADA-B6F37DDCDC0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BBEA7479-A590-40E0-B9F7-28802AE246E7}" name="Candidate Name (Party)" totalsRowLabel="Total Votes by County" dataDxfId="444" totalsRowDxfId="443"/>
    <tableColumn id="2" xr3:uid="{677DA7C4-8774-40B8-8A4E-BF196F99F6A5}" name="Madison County Vote Results" totalsRowFunction="sum" dataDxfId="442" totalsRowDxfId="441"/>
    <tableColumn id="3" xr3:uid="{1C607AE8-5F0B-4354-8673-0A3C9CBED79E}" name="Part of Oneida County Vote Results" dataDxfId="440" totalsRowDxfId="439"/>
    <tableColumn id="4" xr3:uid="{28C6572E-C9F5-4B68-A6D0-DCA3104DF72C}" name="Part of Otsego County Vote Results" totalsRowFunction="sum" dataDxfId="438" totalsRowDxfId="437"/>
    <tableColumn id="6" xr3:uid="{F954BAEF-72D5-4535-ACF1-7C5189DB4874}" name="Total Votes by Party" dataDxfId="436" totalsRowDxfId="435">
      <calculatedColumnFormula>SUM(GovByAssemblyDistrict121General[[#This Row],[Madison County Vote Results]:[Part of Otsego County Vote Results]])</calculatedColumnFormula>
    </tableColumn>
    <tableColumn id="5" xr3:uid="{49EEA8AD-FAED-4B5C-BEBF-1101E7F8F50C}" name="Total Votes by Candidate" dataDxfId="434" totalsRowDxfId="433"/>
  </tableColumns>
  <tableStyleInfo name="TableStyleMedium2" showFirstColumn="0" showLastColumn="0" showRowStripes="0" showColumnStripes="0"/>
</table>
</file>

<file path=xl/tables/table1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6" xr:uid="{409A95EA-D3BF-40AD-9EFE-D6537BB24EAF}" name="GovByAssemblyDistrict122General" displayName="GovByAssemblyDistrict122General" ref="A2:G16" totalsRowCount="1" headerRowDxfId="432" dataDxfId="430" headerRowBorderDxfId="431" tableBorderDxfId="429" totalsRowBorderDxfId="428">
  <autoFilter ref="A2:G15" xr:uid="{245DAAC5-05CD-4B32-96A7-0B077CB0648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AF723851-9AF9-4AF6-82AF-81B0FE0B89B4}" name="Candidate Name (Party)" totalsRowLabel="Total Votes by County" dataDxfId="427" totalsRowDxfId="13"/>
    <tableColumn id="2" xr3:uid="{B713C6EF-AE27-4976-A5E6-034CC94062ED}" name="Part of Broome County Vote Results" totalsRowFunction="sum" dataDxfId="426" totalsRowDxfId="12"/>
    <tableColumn id="6" xr3:uid="{0B5CBE4C-BC82-4023-9D8C-B1F7EA7EFC89}" name="Part of Chenango County Vote Results" dataDxfId="425" totalsRowDxfId="11"/>
    <tableColumn id="3" xr3:uid="{1AD61771-19A1-4D08-9BF9-5CBCFD13C285}" name="Part of Delaware County Vote Results" dataDxfId="424" totalsRowDxfId="10"/>
    <tableColumn id="4" xr3:uid="{6A550103-0A8F-40C7-A467-7154B92E956E}" name="Part of Otsego County Vote Results" totalsRowFunction="sum" dataDxfId="423" totalsRowDxfId="9"/>
    <tableColumn id="7" xr3:uid="{0E4E2832-8512-4E3A-AF6F-B7C64F34A1CE}" name="Total Votes by Party" dataDxfId="422" totalsRowDxfId="8">
      <calculatedColumnFormula>SUM(GovByAssemblyDistrict122General[[#This Row],[Part of Broome County Vote Results]:[Part of Otsego County Vote Results]])</calculatedColumnFormula>
    </tableColumn>
    <tableColumn id="5" xr3:uid="{FB90CD65-3880-4819-AECC-583ABAA1B742}" name="Total Votes by Candidate" dataDxfId="421" totalsRowDxfId="7"/>
  </tableColumns>
  <tableStyleInfo name="TableStyleMedium2" showFirstColumn="0" showLastColumn="0" showRowStripes="0" showColumnStripes="0"/>
</table>
</file>

<file path=xl/tables/table1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7" xr:uid="{B1A435C4-6248-4BEB-AA1B-AB10D7B9BD8C}" name="GovByAssemblyDistrict123General" displayName="GovByAssemblyDistrict123General" ref="A2:D16" totalsRowCount="1" headerRowDxfId="420" dataDxfId="418" headerRowBorderDxfId="419" tableBorderDxfId="417" totalsRowBorderDxfId="416">
  <autoFilter ref="A2:D15" xr:uid="{46D75504-CB5A-4B38-B4E3-A834AF1D27A5}">
    <filterColumn colId="0" hiddenButton="1"/>
    <filterColumn colId="1" hiddenButton="1"/>
    <filterColumn colId="2" hiddenButton="1"/>
    <filterColumn colId="3" hiddenButton="1"/>
  </autoFilter>
  <tableColumns count="4">
    <tableColumn id="1" xr3:uid="{20E415DB-612F-434B-82F1-E7F922ECFC90}" name="Candidate Name (Party)" totalsRowLabel="Total Votes by County" dataDxfId="415" totalsRowDxfId="414"/>
    <tableColumn id="4" xr3:uid="{589F560F-BF5B-45C9-9A66-B4F00755A649}" name="Part of Broome County Vote Results" totalsRowFunction="custom" dataDxfId="413" totalsRowDxfId="412">
      <totalsRowFormula>SUBTOTAL(109,GovByAssemblyDistrict123General[Total Votes by Candidate])</totalsRowFormula>
    </tableColumn>
    <tableColumn id="3" xr3:uid="{175C0095-4306-4D13-A65A-2FAC6A32724E}" name="Total Votes by Party" dataDxfId="411" totalsRowDxfId="410">
      <calculatedColumnFormula>GovByAssemblyDistrict123General[[#This Row],[Part of Broome County Vote Results]]</calculatedColumnFormula>
    </tableColumn>
    <tableColumn id="2" xr3:uid="{59FCB00F-EB2B-46D6-AAD3-DA4838BB125E}" name="Total Votes by Candidate" dataDxfId="409" totalsRowDxfId="408"/>
  </tableColumns>
  <tableStyleInfo name="TableStyleMedium2" showFirstColumn="0" showLastColumn="0" showRowStripes="0" showColumnStripes="0"/>
</table>
</file>

<file path=xl/tables/table1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8" xr:uid="{D6A0C3D0-15EA-4E7D-B397-D6AEE3ED895C}" name="GovByAssemblyDistrict124General" displayName="GovByAssemblyDistrict124General" ref="A2:F16" totalsRowCount="1" headerRowDxfId="407" dataDxfId="405" headerRowBorderDxfId="406" tableBorderDxfId="404" totalsRowBorderDxfId="403">
  <autoFilter ref="A2:F15" xr:uid="{D86C3EA3-67D3-45D3-9E43-ACC11ABEDA6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DE50CA02-A0A5-4208-89DD-A7528DEC5DC9}" name="Candidate Name (Party)" totalsRowLabel="Total Votes by County" dataDxfId="402" totalsRowDxfId="401"/>
    <tableColumn id="2" xr3:uid="{304EE44B-7E11-4CCB-824D-69553D3D9DCF}" name="Tioga County Vote Results" totalsRowFunction="sum" dataDxfId="400" totalsRowDxfId="399"/>
    <tableColumn id="3" xr3:uid="{AD9B539A-939F-4E96-B3C6-6049D53BFD24}" name="Part of Broome County Vote Results" dataDxfId="398" totalsRowDxfId="397"/>
    <tableColumn id="4" xr3:uid="{DB04074B-C9FB-4385-9911-80A36D959511}" name="Part of Chemung County Vote Results" totalsRowFunction="sum" dataDxfId="396" totalsRowDxfId="395"/>
    <tableColumn id="6" xr3:uid="{F38DB848-4533-41D9-8468-E15DE27EE89F}" name="Total Votes by Party" dataDxfId="394" totalsRowDxfId="393">
      <calculatedColumnFormula>SUM(GovByAssemblyDistrict124General[[#This Row],[Tioga County Vote Results]:[Part of Chemung County Vote Results]])</calculatedColumnFormula>
    </tableColumn>
    <tableColumn id="5" xr3:uid="{82096563-BD7A-476B-A404-ED2E6FE353B4}" name="Total Votes by Candidate" dataDxfId="392" totalsRowDxfId="391"/>
  </tableColumns>
  <tableStyleInfo name="TableStyleMedium2" showFirstColumn="0" showLastColumn="0" showRowStripes="0" showColumnStripes="0"/>
</table>
</file>

<file path=xl/tables/table1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9" xr:uid="{764D1597-069B-4958-A0BB-DEF2A63E29DC}" name="GovByAssemblyDistrict125General" displayName="GovByAssemblyDistrict125General" ref="A2:E16" totalsRowCount="1" headerRowDxfId="390" dataDxfId="388" headerRowBorderDxfId="389" tableBorderDxfId="387" totalsRowBorderDxfId="386">
  <autoFilter ref="A2:E15" xr:uid="{56181686-FA01-441E-BA62-C5EF49DDCBCD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3E9764DA-F889-426B-A5FD-47DEE4E2FD16}" name="Candidate Name (Party)" totalsRowLabel="Total Votes by County" dataDxfId="385" totalsRowDxfId="384"/>
    <tableColumn id="2" xr3:uid="{027D19D1-2662-4AEB-B652-913A500D85CD}" name="Tompkins County Vote Results" totalsRowFunction="sum" dataDxfId="383" totalsRowDxfId="382"/>
    <tableColumn id="4" xr3:uid="{CA8AC430-F836-4ACB-8CD2-C6E03117DAF3}" name="Part of Cortland County Vote Results" totalsRowFunction="sum" dataDxfId="381" totalsRowDxfId="380"/>
    <tableColumn id="3" xr3:uid="{CA792DC2-741C-493D-8669-4851AC6B3463}" name="Total Votes by Party" dataDxfId="379" totalsRowDxfId="378">
      <calculatedColumnFormula>SUM(GovByAssemblyDistrict125General[[#This Row],[Tompkins County Vote Results]:[Part of Cortland County Vote Results]])</calculatedColumnFormula>
    </tableColumn>
    <tableColumn id="5" xr3:uid="{23FD84C5-E39D-44B0-8EE5-A7AD258857DE}" name="Total Votes by Candidate" dataDxfId="377" totalsRowDxfId="376"/>
  </tableColumns>
  <tableStyleInfo name="TableStyleMedium2" showFirstColumn="0" showLastColumn="0" showRowStripes="0" showColumnStripes="0"/>
</table>
</file>

<file path=xl/tables/table1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0" xr:uid="{4CB355F8-2B67-4C42-8F6F-9CC8E221993C}" name="GovByAssemblyDistrict126General" displayName="GovByAssemblyDistrict126General" ref="A2:G16" totalsRowCount="1" headerRowDxfId="375" dataDxfId="373" headerRowBorderDxfId="374" tableBorderDxfId="372" totalsRowBorderDxfId="371">
  <autoFilter ref="A2:G15" xr:uid="{A99C9A20-8E1F-4A88-AADC-0BBF518AFAF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D3DB2A1F-1771-4A0A-A284-511226B78574}" name="Candidate Name (Party)" totalsRowLabel="Total Votes by County" dataDxfId="370" totalsRowDxfId="6"/>
    <tableColumn id="2" xr3:uid="{B9839529-D05A-4438-B1EE-B03B22AF3DC9}" name="Part of Cayuga County Vote Results" totalsRowFunction="sum" dataDxfId="369" totalsRowDxfId="5"/>
    <tableColumn id="6" xr3:uid="{41500FF1-BACA-4968-9A69-B526F389BCC4}" name="Part of Chenango County Vote Results" dataDxfId="368" totalsRowDxfId="4"/>
    <tableColumn id="3" xr3:uid="{B2F53450-E4EE-494F-AE9F-81DC8AD8F894}" name="Part of Cortland County Vote Results" dataDxfId="367" totalsRowDxfId="3"/>
    <tableColumn id="4" xr3:uid="{17AF3F29-F95C-48FD-9952-E61AF82CFA22}" name="Part of Onondaga County Vote Results" totalsRowFunction="sum" dataDxfId="366" totalsRowDxfId="2"/>
    <tableColumn id="7" xr3:uid="{0D75E088-0789-4B61-AB18-01843A66E3D6}" name="Total Votes by Party" dataDxfId="365" totalsRowDxfId="1">
      <calculatedColumnFormula>SUM(GovByAssemblyDistrict126General[[#This Row],[Part of Cayuga County Vote Results]:[Part of Onondaga County Vote Results]])</calculatedColumnFormula>
    </tableColumn>
    <tableColumn id="5" xr3:uid="{2B8C581C-88D5-4050-AAD0-8BFD181EE51D}" name="Total Votes by Candidate" dataDxfId="364" totalsRowDxfId="0"/>
  </tableColumns>
  <tableStyleInfo name="TableStyleMedium2" showFirstColumn="0" showLastColumn="0" showRowStripes="0" showColumnStripes="0"/>
</table>
</file>

<file path=xl/tables/table1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1" xr:uid="{CE829FE5-A6E1-4803-B3D7-C99E4586979A}" name="GovByAssemblyDistrict127General" displayName="GovByAssemblyDistrict127General" ref="A2:D16" totalsRowCount="1" headerRowDxfId="363" dataDxfId="361" headerRowBorderDxfId="362" tableBorderDxfId="360" totalsRowBorderDxfId="359">
  <autoFilter ref="A2:D15" xr:uid="{AA9AFB2A-0D4A-4F70-B4F0-FF87AA91CAF7}">
    <filterColumn colId="0" hiddenButton="1"/>
    <filterColumn colId="1" hiddenButton="1"/>
    <filterColumn colId="2" hiddenButton="1"/>
    <filterColumn colId="3" hiddenButton="1"/>
  </autoFilter>
  <tableColumns count="4">
    <tableColumn id="1" xr3:uid="{B8770BDE-45F2-4CC1-9D33-E55E258777FC}" name="Candidate Name (Party)" totalsRowLabel="Total Votes by County" dataDxfId="358" totalsRowDxfId="357"/>
    <tableColumn id="4" xr3:uid="{3B96B899-E294-4F8B-88C8-E95801F69DFC}" name="Part of Onondaga County Vote Results" totalsRowFunction="custom" dataDxfId="356" totalsRowDxfId="355">
      <totalsRowFormula>SUBTOTAL(109,GovByAssemblyDistrict127General[Total Votes by Candidate])</totalsRowFormula>
    </tableColumn>
    <tableColumn id="3" xr3:uid="{06048113-9992-43B0-BF3C-6F0B9E9B2A0E}" name="Total Votes by Party" dataDxfId="354" totalsRowDxfId="353">
      <calculatedColumnFormula>GovByAssemblyDistrict127General[[#This Row],[Part of Onondaga County Vote Results]]</calculatedColumnFormula>
    </tableColumn>
    <tableColumn id="2" xr3:uid="{6467292C-568E-4251-B62B-0AF6D1406E69}" name="Total Votes by Candidate" dataDxfId="352" totalsRowDxfId="351"/>
  </tableColumns>
  <tableStyleInfo name="TableStyleMedium2" showFirstColumn="0" showLastColumn="0" showRowStripes="0" showColumnStripes="0"/>
</table>
</file>

<file path=xl/tables/table1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2" xr:uid="{2E63C727-537D-4A61-807C-48440E093986}" name="GovByAssemblyDistrict128General" displayName="GovByAssemblyDistrict128General" ref="A2:D16" totalsRowCount="1" headerRowDxfId="350" dataDxfId="348" headerRowBorderDxfId="349" tableBorderDxfId="347" totalsRowBorderDxfId="346">
  <autoFilter ref="A2:D15" xr:uid="{6C109CEB-D0D8-46E6-9997-363CB31AA457}">
    <filterColumn colId="0" hiddenButton="1"/>
    <filterColumn colId="1" hiddenButton="1"/>
    <filterColumn colId="2" hiddenButton="1"/>
    <filterColumn colId="3" hiddenButton="1"/>
  </autoFilter>
  <tableColumns count="4">
    <tableColumn id="1" xr3:uid="{9984646A-521A-4885-9184-95F90A6761DC}" name="Candidate Name (Party)" totalsRowLabel="Total Votes by County" dataDxfId="345" totalsRowDxfId="344"/>
    <tableColumn id="4" xr3:uid="{0C015FAA-AF7F-408A-AA21-3701797DAD51}" name="Part of Onondaga County Vote Results" totalsRowFunction="custom" dataDxfId="343" totalsRowDxfId="342">
      <totalsRowFormula>SUBTOTAL(109,GovByAssemblyDistrict128General[Total Votes by Candidate])</totalsRowFormula>
    </tableColumn>
    <tableColumn id="3" xr3:uid="{DD360FED-03C2-41DE-9956-4FA3DEF6A255}" name="Total Votes by Party" dataDxfId="341" totalsRowDxfId="340">
      <calculatedColumnFormula>GovByAssemblyDistrict128General[[#This Row],[Part of Onondaga County Vote Results]]</calculatedColumnFormula>
    </tableColumn>
    <tableColumn id="2" xr3:uid="{FB029B0F-EA07-4759-9119-45FEEFF8EA7A}" name="Total Votes by Candidate" dataDxfId="339" totalsRowDxfId="338"/>
  </tableColumns>
  <tableStyleInfo name="TableStyleMedium2" showFirstColumn="0" showLastColumn="0" showRowStripes="0" showColumnStripes="0"/>
</table>
</file>

<file path=xl/tables/table1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3" xr:uid="{BEB44014-4131-4284-88DD-0FF9BC4EE659}" name="GovByAssemblyDistrict129General" displayName="GovByAssemblyDistrict129General" ref="A2:D16" totalsRowCount="1" headerRowDxfId="337" dataDxfId="335" headerRowBorderDxfId="336" tableBorderDxfId="334" totalsRowBorderDxfId="333">
  <autoFilter ref="A2:D15" xr:uid="{3DDD9ACD-49E6-457F-9A83-3207F2896FC5}">
    <filterColumn colId="0" hiddenButton="1"/>
    <filterColumn colId="1" hiddenButton="1"/>
    <filterColumn colId="2" hiddenButton="1"/>
    <filterColumn colId="3" hiddenButton="1"/>
  </autoFilter>
  <tableColumns count="4">
    <tableColumn id="1" xr3:uid="{760D36D3-CD60-42CA-90FF-038972FED39C}" name="Candidate Name (Party)" totalsRowLabel="Total Votes by County" dataDxfId="332" totalsRowDxfId="331"/>
    <tableColumn id="4" xr3:uid="{B0FF7D2A-EDC8-42A0-A9DB-11170E23DAE8}" name="Part of Onondaga County Vote Results" totalsRowFunction="custom" dataDxfId="330" totalsRowDxfId="329">
      <totalsRowFormula>SUBTOTAL(109,GovByAssemblyDistrict129General[Total Votes by Candidate])</totalsRowFormula>
    </tableColumn>
    <tableColumn id="3" xr3:uid="{612DCCB8-F28C-458A-B39B-7CCADD23FB7A}" name="Total Votes by Party" dataDxfId="328" totalsRowDxfId="327">
      <calculatedColumnFormula>GovByAssemblyDistrict129General[[#This Row],[Part of Onondaga County Vote Results]]</calculatedColumnFormula>
    </tableColumn>
    <tableColumn id="2" xr3:uid="{DADF360C-7ED2-44B7-A557-490290452107}" name="Total Votes by Candidate" dataDxfId="326" totalsRowDxfId="325"/>
  </tableColumns>
  <tableStyleInfo name="TableStyleMedium2" showFirstColumn="0" showLastColumn="0" showRowStripes="0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6F468D74-C8E9-4715-94E4-263201D5A9CF}" name="GovByAssemblyDistrict13General" displayName="GovByAssemblyDistrict13General" ref="A2:D16" totalsRowCount="1" headerRowDxfId="1947" dataDxfId="1945" headerRowBorderDxfId="1946" tableBorderDxfId="1944" totalsRowBorderDxfId="1943">
  <autoFilter ref="A2:D15" xr:uid="{0F24DBBF-CCA5-4EB7-8326-0E8142B9684E}">
    <filterColumn colId="0" hiddenButton="1"/>
    <filterColumn colId="1" hiddenButton="1"/>
    <filterColumn colId="2" hiddenButton="1"/>
    <filterColumn colId="3" hiddenButton="1"/>
  </autoFilter>
  <tableColumns count="4">
    <tableColumn id="1" xr3:uid="{6D24A4CD-9126-44E8-A18E-774909F63834}" name="Candidate Name (Party)" totalsRowLabel="Total Votes by County" dataDxfId="1942" totalsRowDxfId="1941"/>
    <tableColumn id="4" xr3:uid="{57825A0E-C018-430C-B0A2-8FF8318A8596}" name="Part of Nassau County Vote Results" totalsRowFunction="custom" dataDxfId="1940" totalsRowDxfId="1939">
      <totalsRowFormula>SUBTOTAL(109,GovByAssemblyDistrict13General[Total Votes by Candidate])</totalsRowFormula>
    </tableColumn>
    <tableColumn id="3" xr3:uid="{B4AEF4E5-7E70-448E-BA94-35399DF2C76B}" name="Total Votes by Party" dataDxfId="1938" totalsRowDxfId="1937">
      <calculatedColumnFormula>GovByAssemblyDistrict13General[[#This Row],[Part of Nassau County Vote Results]]</calculatedColumnFormula>
    </tableColumn>
    <tableColumn id="2" xr3:uid="{6D2B44FD-FD89-4C02-A69C-8ABF039DA232}" name="Total Votes by Candidate" dataDxfId="1936" totalsRowDxfId="1935"/>
  </tableColumns>
  <tableStyleInfo name="TableStyleMedium2" showFirstColumn="0" showLastColumn="0" showRowStripes="0" showColumnStripes="0"/>
</table>
</file>

<file path=xl/tables/table1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4" xr:uid="{9210612C-1A30-4753-9DEF-565FACB9AB99}" name="GovByAssemblyDistrict130General" displayName="GovByAssemblyDistrict130General" ref="A2:F16" totalsRowCount="1" headerRowDxfId="324" dataDxfId="322" headerRowBorderDxfId="323" tableBorderDxfId="321" totalsRowBorderDxfId="320">
  <autoFilter ref="A2:F15" xr:uid="{1F4DD574-2DE5-42BD-A2AE-83A97726A7F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7EC08AE3-C725-4709-821E-3789F3CEC9DE}" name="Candidate Name (Party)" totalsRowLabel="Total Votes by County" dataDxfId="319" totalsRowDxfId="318"/>
    <tableColumn id="2" xr3:uid="{0B49A22C-9B2F-4243-B3E0-2B32FA7F37CF}" name="Wayne County Vote Results" totalsRowFunction="sum" dataDxfId="317" totalsRowDxfId="316"/>
    <tableColumn id="3" xr3:uid="{B8C16AC8-8B34-444D-B21B-C9BD83F81DC0}" name="Part of Cayuga County Vote Results" dataDxfId="315" totalsRowDxfId="314"/>
    <tableColumn id="4" xr3:uid="{95D407B8-7462-415D-A3F0-4901D358E200}" name="Part of Oswego County Vote Results" totalsRowFunction="sum" dataDxfId="313" totalsRowDxfId="312"/>
    <tableColumn id="6" xr3:uid="{FED0310D-39C6-4249-B8B9-50596DCCF92C}" name="Total Votes by Party" dataDxfId="311" totalsRowDxfId="310">
      <calculatedColumnFormula>SUM(GovByAssemblyDistrict130General[[#This Row],[Wayne County Vote Results]:[Part of Oswego County Vote Results]])</calculatedColumnFormula>
    </tableColumn>
    <tableColumn id="5" xr3:uid="{AF442A47-33F1-4301-92CF-E104CA8B67F7}" name="Total Votes by Candidate" dataDxfId="309" totalsRowDxfId="308"/>
  </tableColumns>
  <tableStyleInfo name="TableStyleMedium2" showFirstColumn="0" showLastColumn="0" showRowStripes="0" showColumnStripes="0"/>
</table>
</file>

<file path=xl/tables/table1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5" xr:uid="{D2F7BC76-80CC-4438-91DB-0562C5798985}" name="GovByAssemblyDistrict131General" displayName="GovByAssemblyDistrict131General" ref="A2:E16" totalsRowCount="1" headerRowDxfId="307" dataDxfId="305" headerRowBorderDxfId="306" tableBorderDxfId="304" totalsRowBorderDxfId="303">
  <autoFilter ref="A2:E15" xr:uid="{EF17B192-EF0F-466C-A594-BB9701421DF6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DC63AF1-2695-4552-9080-8EF6592AC93D}" name="Candidate Name (Party)" totalsRowLabel="Total Votes by County" dataDxfId="302" totalsRowDxfId="301"/>
    <tableColumn id="2" xr3:uid="{A3B787BD-4F0B-4E92-BF42-4E62B6446EF4}" name="Ontario County Vote Results" totalsRowFunction="sum" dataDxfId="300" totalsRowDxfId="299"/>
    <tableColumn id="4" xr3:uid="{3EF339F6-25B8-406C-BA22-EEC9D4B7484D}" name="Part of Seneca County Vote Results" totalsRowFunction="sum" dataDxfId="298" totalsRowDxfId="297"/>
    <tableColumn id="3" xr3:uid="{7D35EA70-0ADB-4155-83E4-59C8607A6C25}" name="Total Votes by Party" dataDxfId="296" totalsRowDxfId="295">
      <calculatedColumnFormula>SUM(GovByAssemblyDistrict131General[[#This Row],[Ontario County Vote Results]:[Part of Seneca County Vote Results]])</calculatedColumnFormula>
    </tableColumn>
    <tableColumn id="5" xr3:uid="{4AF35F83-5BEF-4677-ABDF-773ADED65CB7}" name="Total Votes by Candidate" dataDxfId="294" totalsRowDxfId="293"/>
  </tableColumns>
  <tableStyleInfo name="TableStyleMedium2" showFirstColumn="0" showLastColumn="0" showRowStripes="0" showColumnStripes="0"/>
</table>
</file>

<file path=xl/tables/table1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6" xr:uid="{39E24BD0-FE2D-46C9-8B8F-5F79932C67FC}" name="GovByAssemblyDistrict132General" displayName="GovByAssemblyDistrict132General" ref="A2:H16" totalsRowCount="1" headerRowDxfId="292" dataDxfId="290" headerRowBorderDxfId="291" tableBorderDxfId="289" totalsRowBorderDxfId="288">
  <autoFilter ref="A2:H15" xr:uid="{0998E489-FBE9-4BEC-A50D-7CED7DF420E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1998E6D1-C0EA-4316-8519-AA987C629035}" name="Candidate Name (Party)" totalsRowLabel="Total Votes by County" dataDxfId="287" totalsRowDxfId="286"/>
    <tableColumn id="2" xr3:uid="{09EBC2EE-C4C4-4B13-B514-F16F1221FC09}" name="Schuyler County Vote Results" totalsRowFunction="sum" dataDxfId="285" totalsRowDxfId="284"/>
    <tableColumn id="6" xr3:uid="{5166FF15-F156-4DB5-9097-EFEB82D432F9}" name="Yates County Vote Results" dataDxfId="283" totalsRowDxfId="282"/>
    <tableColumn id="7" xr3:uid="{F99019C1-F701-4743-8F4C-DEC1EC807EA4}" name="Part of Chemung County Vote Results" dataDxfId="281" totalsRowDxfId="280"/>
    <tableColumn id="3" xr3:uid="{36C15E2F-A2EB-4224-8DDE-1EE0175FEC31}" name="Part of Seneca County Vote Results" dataDxfId="279" totalsRowDxfId="278"/>
    <tableColumn id="4" xr3:uid="{B6649313-D534-4BAD-A752-B71906901FC1}" name="Part of Steuben County Vote Results" totalsRowFunction="sum" dataDxfId="277" totalsRowDxfId="276"/>
    <tableColumn id="8" xr3:uid="{95DB73CB-16FC-4DF0-8681-2EEC2385878B}" name="Total Votes by Party" dataDxfId="275" totalsRowDxfId="274">
      <calculatedColumnFormula>SUM(GovByAssemblyDistrict132General[[#This Row],[Schuyler County Vote Results]:[Part of Steuben County Vote Results]])</calculatedColumnFormula>
    </tableColumn>
    <tableColumn id="5" xr3:uid="{82E679B4-C71F-4A86-BC86-2150F71A3711}" name="Total Votes by Candidate" dataDxfId="273" totalsRowDxfId="272"/>
  </tableColumns>
  <tableStyleInfo name="TableStyleMedium2" showFirstColumn="0" showLastColumn="0" showRowStripes="0" showColumnStripes="0"/>
</table>
</file>

<file path=xl/tables/table1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7" xr:uid="{61B0F55A-8589-40EB-B5C4-05FEE3A0906C}" name="GovByAssemblyDistrict133General" displayName="GovByAssemblyDistrict133General" ref="A2:F16" totalsRowCount="1" headerRowDxfId="271" dataDxfId="269" headerRowBorderDxfId="270" tableBorderDxfId="268" totalsRowBorderDxfId="267">
  <autoFilter ref="A2:F15" xr:uid="{75902FE5-F9E4-4D9B-A8FF-264B62FE47F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E4FAC2B2-3257-4E8A-9743-E3A615B86E21}" name="Candidate Name (Party)" totalsRowLabel="Total Votes by County" dataDxfId="266" totalsRowDxfId="265"/>
    <tableColumn id="2" xr3:uid="{AF899C9A-7E68-4A30-A80E-816E6F0C5426}" name="Livingston County Vote Results" totalsRowFunction="sum" dataDxfId="264" totalsRowDxfId="263"/>
    <tableColumn id="3" xr3:uid="{B98711A4-EA04-4F82-9405-3A5ACFF75690}" name="Part of Monroe County Vote Results" dataDxfId="262" totalsRowDxfId="261"/>
    <tableColumn id="4" xr3:uid="{968D5095-DD3B-4E69-B339-628FE31EE6D3}" name="Part of Steuben County Vote Results" totalsRowFunction="sum" dataDxfId="260" totalsRowDxfId="259"/>
    <tableColumn id="6" xr3:uid="{7D077AC4-E0D9-487B-8C80-26806162E712}" name="Total Votes by Party" dataDxfId="258" totalsRowDxfId="257">
      <calculatedColumnFormula>SUM(GovByAssemblyDistrict133General[[#This Row],[Livingston County Vote Results]:[Part of Steuben County Vote Results]])</calculatedColumnFormula>
    </tableColumn>
    <tableColumn id="5" xr3:uid="{AF6292A1-3579-4F52-8CAA-A7D298394693}" name="Total Votes by Candidate" dataDxfId="256" totalsRowDxfId="255"/>
  </tableColumns>
  <tableStyleInfo name="TableStyleMedium2" showFirstColumn="0" showLastColumn="0" showRowStripes="0" showColumnStripes="0"/>
</table>
</file>

<file path=xl/tables/table1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8" xr:uid="{ED4D91C9-7FB7-4B51-ADC4-67362146AF89}" name="GovByAssemblyDistrict134General" displayName="GovByAssemblyDistrict134General" ref="A2:D16" totalsRowCount="1" headerRowDxfId="254" dataDxfId="252" headerRowBorderDxfId="253" tableBorderDxfId="251" totalsRowBorderDxfId="250">
  <autoFilter ref="A2:D15" xr:uid="{02287264-FD12-466B-BCE1-E16D171B9922}">
    <filterColumn colId="0" hiddenButton="1"/>
    <filterColumn colId="1" hiddenButton="1"/>
    <filterColumn colId="2" hiddenButton="1"/>
    <filterColumn colId="3" hiddenButton="1"/>
  </autoFilter>
  <tableColumns count="4">
    <tableColumn id="1" xr3:uid="{F08D4515-E4D6-428B-84D8-C7F6AE1A9339}" name="Candidate Name (Party)" totalsRowLabel="Total Votes by County" dataDxfId="249" totalsRowDxfId="248"/>
    <tableColumn id="4" xr3:uid="{B05BA82F-EA91-4799-9F6A-1E50A4F894B8}" name="Part of Monroe County Vote Results" totalsRowFunction="custom" dataDxfId="247" totalsRowDxfId="246">
      <totalsRowFormula>SUBTOTAL(109,GovByAssemblyDistrict134General[Total Votes by Candidate])</totalsRowFormula>
    </tableColumn>
    <tableColumn id="3" xr3:uid="{1315199E-4219-499D-AAEE-32874242F1EC}" name="Total Votes by Party" dataDxfId="245" totalsRowDxfId="244">
      <calculatedColumnFormula>GovByAssemblyDistrict134General[[#This Row],[Part of Monroe County Vote Results]]</calculatedColumnFormula>
    </tableColumn>
    <tableColumn id="2" xr3:uid="{BDE1B938-0A26-4B45-AB0A-567D07DB16E5}" name="Total Votes by Candidate" dataDxfId="243" totalsRowDxfId="242"/>
  </tableColumns>
  <tableStyleInfo name="TableStyleMedium2" showFirstColumn="0" showLastColumn="0" showRowStripes="0" showColumnStripes="0"/>
</table>
</file>

<file path=xl/tables/table1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9" xr:uid="{42ED15CD-4A02-4A54-9ED4-AB6A2D6E9211}" name="GovByAssemblyDistrict135General" displayName="GovByAssemblyDistrict135General" ref="A2:D16" totalsRowCount="1" headerRowDxfId="241" dataDxfId="239" headerRowBorderDxfId="240" tableBorderDxfId="238" totalsRowBorderDxfId="237">
  <autoFilter ref="A2:D15" xr:uid="{8FF62062-F526-4411-AD70-452F3114D825}">
    <filterColumn colId="0" hiddenButton="1"/>
    <filterColumn colId="1" hiddenButton="1"/>
    <filterColumn colId="2" hiddenButton="1"/>
    <filterColumn colId="3" hiddenButton="1"/>
  </autoFilter>
  <tableColumns count="4">
    <tableColumn id="1" xr3:uid="{9EFC875A-7E49-4B57-9C63-1671A407DD55}" name="Candidate Name (Party)" totalsRowLabel="Total Votes by County" dataDxfId="236" totalsRowDxfId="235"/>
    <tableColumn id="4" xr3:uid="{CAF8CE7A-0A8A-4057-A9F9-BBA907542367}" name="Part of Monroe County Vote Results" totalsRowFunction="custom" dataDxfId="234" totalsRowDxfId="233">
      <totalsRowFormula>SUBTOTAL(109,GovByAssemblyDistrict135General[Total Votes by Candidate])</totalsRowFormula>
    </tableColumn>
    <tableColumn id="3" xr3:uid="{6A2054A6-1F2D-4A71-B2F6-25E0AF055C95}" name="Total Votes by Party" dataDxfId="232" totalsRowDxfId="231">
      <calculatedColumnFormula>GovByAssemblyDistrict135General[[#This Row],[Part of Monroe County Vote Results]]</calculatedColumnFormula>
    </tableColumn>
    <tableColumn id="2" xr3:uid="{02864669-134C-4537-8362-7974AA244681}" name="Total Votes by Candidate" dataDxfId="230" totalsRowDxfId="229"/>
  </tableColumns>
  <tableStyleInfo name="TableStyleMedium2" showFirstColumn="0" showLastColumn="0" showRowStripes="0" showColumnStripes="0"/>
</table>
</file>

<file path=xl/tables/table1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0" xr:uid="{5F362639-6A99-40FF-AEAC-7D8A27F46A9D}" name="GovByAssemblyDistrict136General" displayName="GovByAssemblyDistrict136General" ref="A2:D16" totalsRowCount="1" headerRowDxfId="228" dataDxfId="226" headerRowBorderDxfId="227" tableBorderDxfId="225" totalsRowBorderDxfId="224">
  <autoFilter ref="A2:D15" xr:uid="{A9E0733A-771D-4D4E-8865-BADBDBA80C78}">
    <filterColumn colId="0" hiddenButton="1"/>
    <filterColumn colId="1" hiddenButton="1"/>
    <filterColumn colId="2" hiddenButton="1"/>
    <filterColumn colId="3" hiddenButton="1"/>
  </autoFilter>
  <tableColumns count="4">
    <tableColumn id="1" xr3:uid="{3C495CC9-5554-45CB-8742-7100752BBB9C}" name="Candidate Name (Party)" totalsRowLabel="Total Votes by County" dataDxfId="223" totalsRowDxfId="222"/>
    <tableColumn id="4" xr3:uid="{39D76499-C3D1-4B9F-92B7-FC5AA0BDF64F}" name="Part of Monroe County Vote Results" totalsRowFunction="custom" dataDxfId="221" totalsRowDxfId="220">
      <totalsRowFormula>SUBTOTAL(109,GovByAssemblyDistrict136General[Total Votes by Candidate])</totalsRowFormula>
    </tableColumn>
    <tableColumn id="3" xr3:uid="{581051F8-C0AC-4B55-806F-9387E372F473}" name="Total Votes by Party" dataDxfId="219" totalsRowDxfId="218">
      <calculatedColumnFormula>GovByAssemblyDistrict136General[[#This Row],[Part of Monroe County Vote Results]]</calculatedColumnFormula>
    </tableColumn>
    <tableColumn id="2" xr3:uid="{8FFA900F-2E10-4C17-8B0A-007DC1C6026A}" name="Total Votes by Candidate" dataDxfId="217" totalsRowDxfId="216"/>
  </tableColumns>
  <tableStyleInfo name="TableStyleMedium2" showFirstColumn="0" showLastColumn="0" showRowStripes="0" showColumnStripes="0"/>
</table>
</file>

<file path=xl/tables/table1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1" xr:uid="{E1337B07-D6D6-4332-958D-51E975CED9E0}" name="GovByAssemblyDistrict137General" displayName="GovByAssemblyDistrict137General" ref="A2:D16" totalsRowCount="1" headerRowDxfId="215" dataDxfId="213" headerRowBorderDxfId="214" tableBorderDxfId="212" totalsRowBorderDxfId="211">
  <autoFilter ref="A2:D15" xr:uid="{4B6AFEBA-07AA-4CDE-8C86-747C2585A7A6}">
    <filterColumn colId="0" hiddenButton="1"/>
    <filterColumn colId="1" hiddenButton="1"/>
    <filterColumn colId="2" hiddenButton="1"/>
    <filterColumn colId="3" hiddenButton="1"/>
  </autoFilter>
  <tableColumns count="4">
    <tableColumn id="1" xr3:uid="{36C07B03-AC3C-486C-9DDB-581C4B6B38B0}" name="Candidate Name (Party)" totalsRowLabel="Total Votes by County" dataDxfId="210" totalsRowDxfId="209"/>
    <tableColumn id="4" xr3:uid="{3E9D91EE-BF3A-4756-B8AB-5B1875674463}" name="Part of Monroe County Vote Results" totalsRowFunction="custom" dataDxfId="208" totalsRowDxfId="207">
      <totalsRowFormula>SUBTOTAL(109,GovByAssemblyDistrict137General[Total Votes by Candidate])</totalsRowFormula>
    </tableColumn>
    <tableColumn id="3" xr3:uid="{CC163E1E-74DA-4B06-BD35-845338EFB14C}" name="Total Votes by Party" dataDxfId="206" totalsRowDxfId="205">
      <calculatedColumnFormula>GovByAssemblyDistrict137General[[#This Row],[Part of Monroe County Vote Results]]</calculatedColumnFormula>
    </tableColumn>
    <tableColumn id="2" xr3:uid="{A0CA2B11-4F6A-462C-87B1-1F1AAB22222C}" name="Total Votes by Candidate" dataDxfId="204" totalsRowDxfId="203"/>
  </tableColumns>
  <tableStyleInfo name="TableStyleMedium2" showFirstColumn="0" showLastColumn="0" showRowStripes="0" showColumnStripes="0"/>
</table>
</file>

<file path=xl/tables/table1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2" xr:uid="{90DD66EC-B235-42DB-B457-032370A33C5C}" name="GovByAssemblyDistrict138General" displayName="GovByAssemblyDistrict138General" ref="A2:D16" totalsRowCount="1" headerRowDxfId="202" dataDxfId="200" headerRowBorderDxfId="201" tableBorderDxfId="199" totalsRowBorderDxfId="198">
  <autoFilter ref="A2:D15" xr:uid="{23076F84-4774-428D-A821-7EB4FBC0AD85}">
    <filterColumn colId="0" hiddenButton="1"/>
    <filterColumn colId="1" hiddenButton="1"/>
    <filterColumn colId="2" hiddenButton="1"/>
    <filterColumn colId="3" hiddenButton="1"/>
  </autoFilter>
  <tableColumns count="4">
    <tableColumn id="1" xr3:uid="{C82C0FF1-F528-4C25-AB4B-B1EFDD734D3D}" name="Candidate Name (Party)" totalsRowLabel="Total Votes by County" dataDxfId="197" totalsRowDxfId="196"/>
    <tableColumn id="4" xr3:uid="{5052ACD9-E683-4C53-86BE-7BE826900DFB}" name="Part of Monroe County Vote Results" totalsRowFunction="custom" dataDxfId="195" totalsRowDxfId="194">
      <totalsRowFormula>SUBTOTAL(109,GovByAssemblyDistrict138General[Total Votes by Candidate])</totalsRowFormula>
    </tableColumn>
    <tableColumn id="3" xr3:uid="{1E779FC4-49BA-4AF9-9387-88267AB3753D}" name="Total Votes by Party" dataDxfId="193" totalsRowDxfId="192">
      <calculatedColumnFormula>GovByAssemblyDistrict138General[[#This Row],[Part of Monroe County Vote Results]]</calculatedColumnFormula>
    </tableColumn>
    <tableColumn id="2" xr3:uid="{157F8904-BD35-4CCE-882E-01004DF94D5D}" name="Total Votes by Candidate" dataDxfId="191" totalsRowDxfId="190"/>
  </tableColumns>
  <tableStyleInfo name="TableStyleMedium2" showFirstColumn="0" showLastColumn="0" showRowStripes="0" showColumnStripes="0"/>
</table>
</file>

<file path=xl/tables/table1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3" xr:uid="{CB488AF4-E874-431F-BB68-6F8DB7831C5A}" name="GovByAssemblyDistrict139General" displayName="GovByAssemblyDistrict139General" ref="A2:F16" totalsRowCount="1" headerRowDxfId="189" dataDxfId="187" headerRowBorderDxfId="188" tableBorderDxfId="186" totalsRowBorderDxfId="185">
  <autoFilter ref="A2:F15" xr:uid="{E3C82431-5573-4B2A-B443-9887365FCAE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A005D5E3-8AD3-489A-BD7B-2514788625A4}" name="Candidate Name (Party)" totalsRowLabel="Total Votes by County" dataDxfId="184" totalsRowDxfId="183"/>
    <tableColumn id="2" xr3:uid="{0089C34B-374E-4DD9-A31E-7F0D18E0B2F1}" name="Genesee County Vote Results" totalsRowFunction="sum" dataDxfId="182" totalsRowDxfId="181"/>
    <tableColumn id="3" xr3:uid="{C2C6595F-2578-44A5-AD06-C8DB7B1AD261}" name="Part of Monroe County Vote Results" dataDxfId="180" totalsRowDxfId="179"/>
    <tableColumn id="4" xr3:uid="{6FF6CE88-B1E7-4374-913E-F8945B67F0D8}" name="Part of Orleans County Vote Results" totalsRowFunction="sum" dataDxfId="178" totalsRowDxfId="177"/>
    <tableColumn id="6" xr3:uid="{3B0F496C-88D7-4BB8-836F-676E4C3B2BFA}" name="Total Votes by Party" dataDxfId="176" totalsRowDxfId="175">
      <calculatedColumnFormula>SUM(GovByAssemblyDistrict139General[[#This Row],[Genesee County Vote Results]:[Part of Orleans County Vote Results]])</calculatedColumnFormula>
    </tableColumn>
    <tableColumn id="5" xr3:uid="{E3B35215-1F2A-4ACE-AA61-194C876F6558}" name="Total Votes by Candidate" dataDxfId="174" totalsRowDxfId="173"/>
  </tableColumns>
  <tableStyleInfo name="TableStyleMedium2" showFirstColumn="0" showLastColumn="0" showRowStripes="0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12CE585B-7C3A-4352-98E1-B3BE11428261}" name="GovByAssemblyDistrict14General" displayName="GovByAssemblyDistrict14General" ref="A2:D16" totalsRowCount="1" headerRowDxfId="1934" dataDxfId="1932" headerRowBorderDxfId="1933" tableBorderDxfId="1931" totalsRowBorderDxfId="1930">
  <autoFilter ref="A2:D15" xr:uid="{5937DA75-BE02-42E2-BD25-08401B1941CB}">
    <filterColumn colId="0" hiddenButton="1"/>
    <filterColumn colId="1" hiddenButton="1"/>
    <filterColumn colId="2" hiddenButton="1"/>
    <filterColumn colId="3" hiddenButton="1"/>
  </autoFilter>
  <tableColumns count="4">
    <tableColumn id="1" xr3:uid="{2079AC8D-25A5-4A9C-9A59-5836746CEA94}" name="Candidate Name (Party)" totalsRowLabel="Total Votes by County" dataDxfId="1929" totalsRowDxfId="1928"/>
    <tableColumn id="4" xr3:uid="{38350704-9A23-489C-B582-CD7448087F9A}" name="Part of Nassau County Vote Results" totalsRowFunction="custom" dataDxfId="1927" totalsRowDxfId="1926">
      <totalsRowFormula>SUBTOTAL(109,GovByAssemblyDistrict14General[Total Votes by Candidate])</totalsRowFormula>
    </tableColumn>
    <tableColumn id="3" xr3:uid="{27175BDD-1FFD-49F6-849E-53A25D154AF1}" name="Total Votes by Party" dataDxfId="1925" totalsRowDxfId="1924">
      <calculatedColumnFormula>GovByAssemblyDistrict14General[[#This Row],[Part of Nassau County Vote Results]]</calculatedColumnFormula>
    </tableColumn>
    <tableColumn id="2" xr3:uid="{90AE83CE-9222-4EAD-A81B-C3F471261F39}" name="Total Votes by Candidate" dataDxfId="1923" totalsRowDxfId="1922"/>
  </tableColumns>
  <tableStyleInfo name="TableStyleMedium2" showFirstColumn="0" showLastColumn="0" showRowStripes="0" showColumnStripes="0"/>
</table>
</file>

<file path=xl/tables/table1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4" xr:uid="{A51EB6BA-6B83-4218-8E1F-5800315C6FCB}" name="GovByAssemblyDistrict140General" displayName="GovByAssemblyDistrict140General" ref="A2:E16" totalsRowCount="1" headerRowDxfId="172" dataDxfId="170" headerRowBorderDxfId="171" tableBorderDxfId="169" totalsRowBorderDxfId="168">
  <autoFilter ref="A2:E15" xr:uid="{9E2ACD98-BABE-46BB-889B-6D6596DE52F9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13D10F40-9C52-4E72-8E36-27E48368FA2A}" name="Candidate Name (Party)" totalsRowLabel="Total Votes by County" dataDxfId="167" totalsRowDxfId="166"/>
    <tableColumn id="2" xr3:uid="{57B63068-FCB9-4C48-830C-5071FC06BB7B}" name="Part of Erie County Vote Results" totalsRowFunction="sum" dataDxfId="165" totalsRowDxfId="164"/>
    <tableColumn id="4" xr3:uid="{926E2043-3ECE-464B-BF25-542D539DDD74}" name="Part of Niagara County Vote Results" totalsRowFunction="sum" dataDxfId="163" totalsRowDxfId="162"/>
    <tableColumn id="3" xr3:uid="{50405DF1-9A58-4826-85FD-5CF2041BC919}" name="Total Votes by Party" dataDxfId="161" totalsRowDxfId="160">
      <calculatedColumnFormula>SUM(GovByAssemblyDistrict140General[[#This Row],[Part of Erie County Vote Results]:[Part of Niagara County Vote Results]])</calculatedColumnFormula>
    </tableColumn>
    <tableColumn id="5" xr3:uid="{CC4BFBD2-53DA-4B48-BD78-50631721F9F5}" name="Total Votes by Candidate" dataDxfId="159" totalsRowDxfId="158"/>
  </tableColumns>
  <tableStyleInfo name="TableStyleMedium2" showFirstColumn="0" showLastColumn="0" showRowStripes="0" showColumnStripes="0"/>
</table>
</file>

<file path=xl/tables/table1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5" xr:uid="{4D5CA5A0-DC77-43BB-BD37-E3DCDBE9A6A0}" name="GovByAssemblyDistrict141General" displayName="GovByAssemblyDistrict141General" ref="A2:D16" totalsRowCount="1" headerRowDxfId="157" dataDxfId="155" headerRowBorderDxfId="156" tableBorderDxfId="154" totalsRowBorderDxfId="153">
  <autoFilter ref="A2:D15" xr:uid="{22AF99CF-D9B8-44A2-AAB2-12946BFEFBF4}">
    <filterColumn colId="0" hiddenButton="1"/>
    <filterColumn colId="1" hiddenButton="1"/>
    <filterColumn colId="2" hiddenButton="1"/>
    <filterColumn colId="3" hiddenButton="1"/>
  </autoFilter>
  <tableColumns count="4">
    <tableColumn id="1" xr3:uid="{E55F85F8-8717-42E1-998D-11CB9BF6E533}" name="Candidate Name (Party)" totalsRowLabel="Total Votes by County" dataDxfId="152" totalsRowDxfId="151"/>
    <tableColumn id="4" xr3:uid="{039B9110-7E44-473D-9A95-DFD7B56D51F4}" name="Part of Erie County Vote Results" totalsRowFunction="custom" dataDxfId="150" totalsRowDxfId="149">
      <totalsRowFormula>SUBTOTAL(109,GovByAssemblyDistrict141General[Total Votes by Candidate])</totalsRowFormula>
    </tableColumn>
    <tableColumn id="3" xr3:uid="{73A1A52E-248F-44D7-A66B-FCBCFE54300C}" name="Total Votes by Party" dataDxfId="148" totalsRowDxfId="147">
      <calculatedColumnFormula>GovByAssemblyDistrict141General[[#This Row],[Part of Erie County Vote Results]]</calculatedColumnFormula>
    </tableColumn>
    <tableColumn id="2" xr3:uid="{9645F75A-BC4D-48DB-B9E3-6581BD705BE8}" name="Total Votes by Candidate" dataDxfId="146" totalsRowDxfId="145"/>
  </tableColumns>
  <tableStyleInfo name="TableStyleMedium2" showFirstColumn="0" showLastColumn="0" showRowStripes="0" showColumnStripes="0"/>
</table>
</file>

<file path=xl/tables/table1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6" xr:uid="{63F88172-52EF-46A3-8BA8-883EC5B6F9F8}" name="GovByAssemblyDistrict142General" displayName="GovByAssemblyDistrict142General" ref="A2:D16" totalsRowCount="1" headerRowDxfId="144" dataDxfId="142" headerRowBorderDxfId="143" tableBorderDxfId="141" totalsRowBorderDxfId="140">
  <autoFilter ref="A2:D15" xr:uid="{8910F937-202F-488B-909D-2D121514E050}">
    <filterColumn colId="0" hiddenButton="1"/>
    <filterColumn colId="1" hiddenButton="1"/>
    <filterColumn colId="2" hiddenButton="1"/>
    <filterColumn colId="3" hiddenButton="1"/>
  </autoFilter>
  <tableColumns count="4">
    <tableColumn id="1" xr3:uid="{7C01A4AB-70E3-4698-9AA1-D5E95EA3EE60}" name="Candidate Name (Party)" totalsRowLabel="Total Votes by County" dataDxfId="139" totalsRowDxfId="138"/>
    <tableColumn id="4" xr3:uid="{A858F77F-4B6D-4CF2-9729-AC00313AB429}" name="Part of Erie County Vote Results" totalsRowFunction="custom" dataDxfId="137" totalsRowDxfId="136">
      <totalsRowFormula>SUBTOTAL(109,GovByAssemblyDistrict142General[Total Votes by Candidate])</totalsRowFormula>
    </tableColumn>
    <tableColumn id="3" xr3:uid="{307242E9-69F1-45C3-82C9-D0DB1EED5ADE}" name="Total Votes by Party" dataDxfId="135" totalsRowDxfId="134">
      <calculatedColumnFormula>GovByAssemblyDistrict142General[[#This Row],[Part of Erie County Vote Results]]</calculatedColumnFormula>
    </tableColumn>
    <tableColumn id="2" xr3:uid="{4E521FF5-748E-40D6-B2E8-FD7493912BB6}" name="Total Votes by Candidate" dataDxfId="133" totalsRowDxfId="132"/>
  </tableColumns>
  <tableStyleInfo name="TableStyleMedium2" showFirstColumn="0" showLastColumn="0" showRowStripes="0" showColumnStripes="0"/>
</table>
</file>

<file path=xl/tables/table1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7" xr:uid="{071F8975-BFFB-434F-AC4F-D59995D8E86B}" name="GovByAssemblyDistrict143General" displayName="GovByAssemblyDistrict143General" ref="A2:D16" totalsRowCount="1" headerRowDxfId="131" dataDxfId="129" headerRowBorderDxfId="130" tableBorderDxfId="128" totalsRowBorderDxfId="127">
  <autoFilter ref="A2:D15" xr:uid="{02CC8600-A1F3-44F3-856C-3357466A589B}">
    <filterColumn colId="0" hiddenButton="1"/>
    <filterColumn colId="1" hiddenButton="1"/>
    <filterColumn colId="2" hiddenButton="1"/>
    <filterColumn colId="3" hiddenButton="1"/>
  </autoFilter>
  <tableColumns count="4">
    <tableColumn id="1" xr3:uid="{E76BAB8F-0E20-4A39-8DC0-660177553892}" name="Candidate Name (Party)" totalsRowLabel="Total Votes by County" dataDxfId="126" totalsRowDxfId="125"/>
    <tableColumn id="4" xr3:uid="{5DA54ADA-F6A7-4F8D-A489-CCF9A318141A}" name="Part of Erie County Vote Results" totalsRowFunction="custom" dataDxfId="124" totalsRowDxfId="123">
      <totalsRowFormula>SUBTOTAL(109,GovByAssemblyDistrict143General[Total Votes by Candidate])</totalsRowFormula>
    </tableColumn>
    <tableColumn id="3" xr3:uid="{A29E353A-175B-46DB-9399-14E801694370}" name="Total Votes by Party" dataDxfId="122" totalsRowDxfId="121">
      <calculatedColumnFormula>GovByAssemblyDistrict143General[[#This Row],[Part of Erie County Vote Results]]</calculatedColumnFormula>
    </tableColumn>
    <tableColumn id="2" xr3:uid="{98578376-9369-4B3F-AB04-29008EBB9D57}" name="Total Votes by Candidate" dataDxfId="120" totalsRowDxfId="119"/>
  </tableColumns>
  <tableStyleInfo name="TableStyleMedium2" showFirstColumn="0" showLastColumn="0" showRowStripes="0" showColumnStripes="0"/>
</table>
</file>

<file path=xl/tables/table1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8" xr:uid="{A6053B48-BB86-49DA-B973-036A29993C00}" name="GovByAssemblyDistrict144General" displayName="GovByAssemblyDistrict144General" ref="A2:F16" totalsRowCount="1" headerRowDxfId="118" dataDxfId="116" headerRowBorderDxfId="117" tableBorderDxfId="115" totalsRowBorderDxfId="114">
  <autoFilter ref="A2:F15" xr:uid="{7FD18991-9313-4FC5-B1F3-AD718F0E1E7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F443FAAA-B57A-4E10-9310-84C5DE47055E}" name="Candidate Name (Party)" totalsRowLabel="Total Votes by County" dataDxfId="113" totalsRowDxfId="112"/>
    <tableColumn id="2" xr3:uid="{DE82BBB8-E5F7-4AFD-9A54-58B3EF8B9D77}" name="Part of Erie County Vote Results" totalsRowFunction="sum" dataDxfId="111" totalsRowDxfId="110"/>
    <tableColumn id="3" xr3:uid="{C2E74CB8-4533-44C4-8B78-B225E9781F37}" name="Part of Niagara County Vote Results" dataDxfId="109" totalsRowDxfId="108"/>
    <tableColumn id="4" xr3:uid="{C369A5BB-C0A9-42F3-BC31-CEEFC5427892}" name="Part of Orleans County Vote Results" totalsRowFunction="sum" dataDxfId="107" totalsRowDxfId="106"/>
    <tableColumn id="6" xr3:uid="{337F677D-82F0-493B-837F-776E32CC79BF}" name="Total Votes by Party" dataDxfId="105" totalsRowDxfId="104">
      <calculatedColumnFormula>SUM(GovByAssemblyDistrict144General[[#This Row],[Part of Erie County Vote Results]:[Part of Orleans County Vote Results]])</calculatedColumnFormula>
    </tableColumn>
    <tableColumn id="5" xr3:uid="{C5F5E3E0-8EAC-4B67-B0A9-3BECDFB9F379}" name="Total Votes by Candidate" dataDxfId="103" totalsRowDxfId="102"/>
  </tableColumns>
  <tableStyleInfo name="TableStyleMedium2" showFirstColumn="0" showLastColumn="0" showRowStripes="0" showColumnStripes="0"/>
</table>
</file>

<file path=xl/tables/table1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9" xr:uid="{1A800280-F273-4EB0-BB9F-58281B75ACDD}" name="GovByAssemblyDistrict145General" displayName="GovByAssemblyDistrict145General" ref="A2:E16" totalsRowCount="1" headerRowDxfId="101" dataDxfId="99" headerRowBorderDxfId="100" tableBorderDxfId="98" totalsRowBorderDxfId="97">
  <autoFilter ref="A2:E15" xr:uid="{A44B1284-E057-4577-885D-6B637894E13D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C3130095-9F66-456E-A67C-08DFF2C5EA17}" name="Candidate Name (Party)" totalsRowLabel="Total Votes by County" dataDxfId="96" totalsRowDxfId="95"/>
    <tableColumn id="2" xr3:uid="{07AE7FE9-0E14-4B0B-AB7F-A0E470B48BB0}" name="Part of Erie County Vote Results" totalsRowFunction="sum" dataDxfId="94" totalsRowDxfId="93"/>
    <tableColumn id="4" xr3:uid="{5592246F-7486-4794-9AEB-BFB37891BB33}" name="Part of Niagara County Vote Results" totalsRowFunction="sum" dataDxfId="92" totalsRowDxfId="91"/>
    <tableColumn id="3" xr3:uid="{2DD1DFEA-86B1-4C7C-8F9E-573F950DAD74}" name="Total Votes by Party" dataDxfId="90" totalsRowDxfId="89">
      <calculatedColumnFormula>SUM(GovByAssemblyDistrict145General[[#This Row],[Part of Erie County Vote Results]:[Part of Niagara County Vote Results]])</calculatedColumnFormula>
    </tableColumn>
    <tableColumn id="5" xr3:uid="{192972FE-D0E5-43FA-B40C-33791737F8AD}" name="Total Votes by Candidate" dataDxfId="88" totalsRowDxfId="87"/>
  </tableColumns>
  <tableStyleInfo name="TableStyleMedium2" showFirstColumn="0" showLastColumn="0" showRowStripes="0" showColumnStripes="0"/>
</table>
</file>

<file path=xl/tables/table1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0" xr:uid="{E8790B4C-AFF3-46F9-BB1D-2F28C6C7F681}" name="GovByAssemblyDistrict146General" displayName="GovByAssemblyDistrict146General" ref="A2:E16" totalsRowCount="1" headerRowDxfId="86" dataDxfId="84" headerRowBorderDxfId="85" tableBorderDxfId="83" totalsRowBorderDxfId="82">
  <autoFilter ref="A2:E15" xr:uid="{6944EF26-C1E2-4DE1-8E53-9B2FAF85B2A3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D715F912-514B-45A1-95D2-01CD947B0300}" name="Candidate Name (Party)" totalsRowLabel="Total Votes by County" dataDxfId="81" totalsRowDxfId="80"/>
    <tableColumn id="2" xr3:uid="{3AEDB5A0-4A98-418B-BDBB-9E3519500D37}" name="Part of Erie County Vote Results" totalsRowFunction="sum" dataDxfId="79" totalsRowDxfId="78"/>
    <tableColumn id="4" xr3:uid="{FEE08528-8507-44BB-8B0D-71933F60E6F1}" name="Part of Niagara County Vote Results" totalsRowFunction="sum" dataDxfId="77" totalsRowDxfId="76"/>
    <tableColumn id="3" xr3:uid="{47F5C931-2F11-4970-8046-E7D2A78A25DB}" name="Total Votes by Party" dataDxfId="75" totalsRowDxfId="74">
      <calculatedColumnFormula>SUM(GovByAssemblyDistrict146General[[#This Row],[Part of Erie County Vote Results]:[Part of Niagara County Vote Results]])</calculatedColumnFormula>
    </tableColumn>
    <tableColumn id="5" xr3:uid="{7D830220-410D-4D07-AD16-94371B02D269}" name="Total Votes by Candidate" dataDxfId="73" totalsRowDxfId="72"/>
  </tableColumns>
  <tableStyleInfo name="TableStyleMedium2" showFirstColumn="0" showLastColumn="0" showRowStripes="0" showColumnStripes="0"/>
</table>
</file>

<file path=xl/tables/table1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1" xr:uid="{9B4FEABF-8FB4-4FAC-854E-A9B088CE478C}" name="GovByAssemblyDistrict147General" displayName="GovByAssemblyDistrict147General" ref="A2:E16" totalsRowCount="1" headerRowDxfId="71" dataDxfId="69" headerRowBorderDxfId="70" tableBorderDxfId="68" totalsRowBorderDxfId="67">
  <autoFilter ref="A2:E15" xr:uid="{AB141FD7-6216-4E49-859A-9685658981F9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768367DA-E2F1-46F9-8613-59F0C6D1B6C6}" name="Candidate Name (Party)" totalsRowLabel="Total Votes by County" dataDxfId="66" totalsRowDxfId="65"/>
    <tableColumn id="2" xr3:uid="{51F51BE3-448A-452B-96A9-999282DC3361}" name="Wyoming County Vote Results" totalsRowFunction="sum" dataDxfId="64" totalsRowDxfId="63"/>
    <tableColumn id="4" xr3:uid="{4B033272-EE10-43C9-BFCD-8F5CFD90E490}" name="Part of Erie County Vote Results" totalsRowFunction="sum" dataDxfId="62" totalsRowDxfId="61"/>
    <tableColumn id="3" xr3:uid="{BEF8F4D0-6379-4C5C-8710-946A9294F7F9}" name="Total Votes by Party" dataDxfId="60" totalsRowDxfId="59">
      <calculatedColumnFormula>SUM(GovByAssemblyDistrict147General[[#This Row],[Wyoming County Vote Results]:[Part of Erie County Vote Results]])</calculatedColumnFormula>
    </tableColumn>
    <tableColumn id="5" xr3:uid="{993A75A0-160F-4B5C-953D-DCB7BFAEBAFC}" name="Total Votes by Candidate" dataDxfId="58" totalsRowDxfId="57"/>
  </tableColumns>
  <tableStyleInfo name="TableStyleMedium2" showFirstColumn="0" showLastColumn="0" showRowStripes="0" showColumnStripes="0"/>
</table>
</file>

<file path=xl/tables/table1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2" xr:uid="{EB0D4BD6-D19E-42F6-B77B-8DD3A72F100A}" name="GovByAssemblyDistrict148General" displayName="GovByAssemblyDistrict148General" ref="A2:F16" totalsRowCount="1" headerRowDxfId="56" dataDxfId="54" headerRowBorderDxfId="55" tableBorderDxfId="53" totalsRowBorderDxfId="52">
  <autoFilter ref="A2:F15" xr:uid="{27EE9879-EDC0-4753-BFCC-E219069156F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BD83897C-FC68-4557-9919-A2A23F0E0B8A}" name="Candidate Name (Party)" totalsRowLabel="Total Votes by County" dataDxfId="51" totalsRowDxfId="50"/>
    <tableColumn id="2" xr3:uid="{CBB10CB0-CE66-4FD5-871B-ECF408C9B1A8}" name="Allegany County Vote Results" totalsRowFunction="sum" dataDxfId="49" totalsRowDxfId="48"/>
    <tableColumn id="3" xr3:uid="{31FD4203-D523-4C5B-A87E-FCD04EBAFFA5}" name="Cattaraugus County Vote Results" dataDxfId="47" totalsRowDxfId="46"/>
    <tableColumn id="4" xr3:uid="{73E73A6F-2D84-48D2-A190-D59D296B766B}" name="Part of Steuben County Vote Results" totalsRowFunction="sum" dataDxfId="45" totalsRowDxfId="44"/>
    <tableColumn id="6" xr3:uid="{D4E624DF-0129-4FC3-B571-9324667C56C3}" name="Total Votes by Party" dataDxfId="43" totalsRowDxfId="42">
      <calculatedColumnFormula>SUM(GovByAssemblyDistrict148General[[#This Row],[Allegany County Vote Results]:[Part of Steuben County Vote Results]])</calculatedColumnFormula>
    </tableColumn>
    <tableColumn id="5" xr3:uid="{DE9B040D-766D-4710-8E0A-DE646CCD67E2}" name="Total Votes by Candidate" dataDxfId="41" totalsRowDxfId="40"/>
  </tableColumns>
  <tableStyleInfo name="TableStyleMedium2" showFirstColumn="0" showLastColumn="0" showRowStripes="0" showColumnStripes="0"/>
</table>
</file>

<file path=xl/tables/table1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3" xr:uid="{630F8BD8-3B19-4006-A31D-C356D37FAFAA}" name="GovByAssemblyDistrict149General" displayName="GovByAssemblyDistrict149General" ref="A2:D16" totalsRowCount="1" headerRowDxfId="39" dataDxfId="37" headerRowBorderDxfId="38" tableBorderDxfId="36" totalsRowBorderDxfId="35">
  <autoFilter ref="A2:D15" xr:uid="{5F76BB40-0EE9-4810-B936-4B1D62378CB2}">
    <filterColumn colId="0" hiddenButton="1"/>
    <filterColumn colId="1" hiddenButton="1"/>
    <filterColumn colId="2" hiddenButton="1"/>
    <filterColumn colId="3" hiddenButton="1"/>
  </autoFilter>
  <tableColumns count="4">
    <tableColumn id="1" xr3:uid="{0A1FDA8B-5A36-4257-8872-50E0B495D1B1}" name="Candidate Name (Party)" totalsRowLabel="Total Votes by County" dataDxfId="34" totalsRowDxfId="33"/>
    <tableColumn id="4" xr3:uid="{98FA6C24-BC68-4BEB-97D7-A98710BB9B7F}" name="Part of Erie County Vote Results" totalsRowFunction="custom" dataDxfId="32" totalsRowDxfId="31">
      <totalsRowFormula>SUBTOTAL(109,GovByAssemblyDistrict149General[Total Votes by Candidate])</totalsRowFormula>
    </tableColumn>
    <tableColumn id="3" xr3:uid="{B9BFE2F8-2215-4D81-B2D7-31E245DEAE7B}" name="Total Votes by Party" dataDxfId="30" totalsRowDxfId="29">
      <calculatedColumnFormula>GovByAssemblyDistrict149General[[#This Row],[Part of Erie County Vote Results]]</calculatedColumnFormula>
    </tableColumn>
    <tableColumn id="2" xr3:uid="{7B67E1C5-B647-46EF-91D5-B8EF16A73C15}" name="Total Votes by Candidate" dataDxfId="28" totalsRowDxfId="27"/>
  </tableColumns>
  <tableStyleInfo name="TableStyleMedium2" showFirstColumn="0" showLastColumn="0" showRowStripes="0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38CD269E-DE1A-4479-8BC8-5258BFF7AE42}" name="GovByAssemblyDistrict15General" displayName="GovByAssemblyDistrict15General" ref="A2:D16" totalsRowCount="1" headerRowDxfId="1921" dataDxfId="1919" headerRowBorderDxfId="1920" tableBorderDxfId="1918" totalsRowBorderDxfId="1917">
  <autoFilter ref="A2:D15" xr:uid="{183E417A-1824-4EF9-92C3-CCAD3385A504}">
    <filterColumn colId="0" hiddenButton="1"/>
    <filterColumn colId="1" hiddenButton="1"/>
    <filterColumn colId="2" hiddenButton="1"/>
    <filterColumn colId="3" hiddenButton="1"/>
  </autoFilter>
  <tableColumns count="4">
    <tableColumn id="1" xr3:uid="{C963305A-AFC3-482C-A5B7-CF9E7D29D0F1}" name="Candidate Name (Party)" totalsRowLabel="Total Votes by County" dataDxfId="1916" totalsRowDxfId="1915"/>
    <tableColumn id="4" xr3:uid="{B3D67AB2-3517-4AAE-AB1C-B26A2537E355}" name="Part of Nassau County Vote Results" totalsRowFunction="custom" dataDxfId="1914" totalsRowDxfId="1913">
      <totalsRowFormula>SUBTOTAL(109,GovByAssemblyDistrict15General[Total Votes by Candidate])</totalsRowFormula>
    </tableColumn>
    <tableColumn id="3" xr3:uid="{DC78DA5D-A1AA-4E91-BE92-D32B34FCB2DF}" name="Total Votes by Party" dataDxfId="1912" totalsRowDxfId="1911">
      <calculatedColumnFormula>GovByAssemblyDistrict15General[[#This Row],[Part of Nassau County Vote Results]]</calculatedColumnFormula>
    </tableColumn>
    <tableColumn id="2" xr3:uid="{BE328809-358F-4D5B-B9D0-B98D15C56D9E}" name="Total Votes by Candidate" dataDxfId="1910" totalsRowDxfId="1909"/>
  </tableColumns>
  <tableStyleInfo name="TableStyleMedium2" showFirstColumn="0" showLastColumn="0" showRowStripes="0" showColumnStripes="0"/>
</table>
</file>

<file path=xl/tables/table1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4" xr:uid="{93ADC919-D40D-4BA5-AB38-B44F4066B74C}" name="GovByAssemblyDistrict150General" displayName="GovByAssemblyDistrict150General" ref="A2:D16" totalsRowCount="1" headerRowDxfId="26" dataDxfId="24" headerRowBorderDxfId="25" tableBorderDxfId="23" totalsRowBorderDxfId="22">
  <autoFilter ref="A2:D15" xr:uid="{262930F5-1E91-4E68-A2C5-4D971BD4DF4A}">
    <filterColumn colId="0" hiddenButton="1"/>
    <filterColumn colId="1" hiddenButton="1"/>
    <filterColumn colId="2" hiddenButton="1"/>
    <filterColumn colId="3" hiddenButton="1"/>
  </autoFilter>
  <tableColumns count="4">
    <tableColumn id="1" xr3:uid="{E70A5E4D-3A07-4EC8-B3F2-CF361C69B12A}" name="Candidate Name (Party)" totalsRowLabel="Total Votes by County" dataDxfId="21" totalsRowDxfId="20"/>
    <tableColumn id="4" xr3:uid="{0E7F60B0-D02A-4DB2-8933-122872CCA985}" name="Chautauqua County Vote Results" totalsRowFunction="custom" dataDxfId="19" totalsRowDxfId="18">
      <totalsRowFormula>SUBTOTAL(109,GovByAssemblyDistrict150General[Total Votes by Candidate])</totalsRowFormula>
    </tableColumn>
    <tableColumn id="3" xr3:uid="{FA104702-B417-481A-869A-628AD6E9FEBA}" name="Total Votes by Party" dataDxfId="17" totalsRowDxfId="16">
      <calculatedColumnFormula>GovByAssemblyDistrict150General[[#This Row],[Chautauqua County Vote Results]]</calculatedColumnFormula>
    </tableColumn>
    <tableColumn id="2" xr3:uid="{EB11F268-74A7-4ED8-8296-367FF4D0DB0E}" name="Total Votes by Candidate" dataDxfId="15" totalsRowDxfId="14"/>
  </tableColumns>
  <tableStyleInfo name="TableStyleMedium2" showFirstColumn="0" showLastColumn="0" showRowStripes="0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1F7B88DB-9EA8-4974-B273-F815B5C3D65E}" name="GovByAssemblyDistrict16General" displayName="GovByAssemblyDistrict16General" ref="A2:D16" totalsRowCount="1" headerRowDxfId="1908" dataDxfId="1906" headerRowBorderDxfId="1907" tableBorderDxfId="1905" totalsRowBorderDxfId="1904">
  <autoFilter ref="A2:D15" xr:uid="{0228BEBD-58D1-41FA-91B6-1311DEF97E30}">
    <filterColumn colId="0" hiddenButton="1"/>
    <filterColumn colId="1" hiddenButton="1"/>
    <filterColumn colId="2" hiddenButton="1"/>
    <filterColumn colId="3" hiddenButton="1"/>
  </autoFilter>
  <tableColumns count="4">
    <tableColumn id="1" xr3:uid="{DA59FD21-6D4C-45EC-BD6F-AB9E189C0306}" name="Candidate Name (Party)" totalsRowLabel="Total Votes by County" dataDxfId="1903" totalsRowDxfId="1902"/>
    <tableColumn id="4" xr3:uid="{F916FE36-A570-4763-88FB-E4C91B90600F}" name="Part of Nassau County Vote Results" totalsRowFunction="custom" dataDxfId="1901" totalsRowDxfId="1900">
      <totalsRowFormula>SUBTOTAL(109,GovByAssemblyDistrict16General[Total Votes by Candidate])</totalsRowFormula>
    </tableColumn>
    <tableColumn id="3" xr3:uid="{DC31E840-0821-442E-9F23-49007DE25AF7}" name="Total Votes by Party" dataDxfId="1899" totalsRowDxfId="1898">
      <calculatedColumnFormula>GovByAssemblyDistrict16General[[#This Row],[Part of Nassau County Vote Results]]</calculatedColumnFormula>
    </tableColumn>
    <tableColumn id="2" xr3:uid="{C5C7312D-F1D2-49F4-A13D-95D391CF223B}" name="Total Votes by Candidate" dataDxfId="1897" totalsRowDxfId="1896"/>
  </tableColumns>
  <tableStyleInfo name="TableStyleMedium2" showFirstColumn="0" showLastColumn="0" showRowStripes="0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96DA864B-2F3C-44D2-8447-BE24B65D6E58}" name="GovByAssemblyDistrict17General" displayName="GovByAssemblyDistrict17General" ref="A2:D16" totalsRowCount="1" headerRowDxfId="1895" dataDxfId="1893" headerRowBorderDxfId="1894" tableBorderDxfId="1892" totalsRowBorderDxfId="1891">
  <autoFilter ref="A2:D15" xr:uid="{AC67C73C-158A-4854-AC7C-E26AD0BAE157}">
    <filterColumn colId="0" hiddenButton="1"/>
    <filterColumn colId="1" hiddenButton="1"/>
    <filterColumn colId="2" hiddenButton="1"/>
    <filterColumn colId="3" hiddenButton="1"/>
  </autoFilter>
  <tableColumns count="4">
    <tableColumn id="1" xr3:uid="{7EFB8B67-4B4B-4755-800A-42A4C2E4F52B}" name="Candidate Name (Party)" totalsRowLabel="Total Votes by County" dataDxfId="1890" totalsRowDxfId="1889"/>
    <tableColumn id="4" xr3:uid="{4C82C4A4-2E38-40C6-BB47-69443141F399}" name="Part of Nassau County Vote Results" totalsRowFunction="custom" dataDxfId="1888" totalsRowDxfId="1887">
      <totalsRowFormula>SUBTOTAL(109,GovByAssemblyDistrict17General[Total Votes by Candidate])</totalsRowFormula>
    </tableColumn>
    <tableColumn id="3" xr3:uid="{CC3B8AD5-114E-423E-9427-91A296629527}" name="Total Votes by Party" dataDxfId="1886" totalsRowDxfId="1885">
      <calculatedColumnFormula>GovByAssemblyDistrict17General[[#This Row],[Part of Nassau County Vote Results]]</calculatedColumnFormula>
    </tableColumn>
    <tableColumn id="2" xr3:uid="{490A5121-72FF-45A2-A6FB-9030B01B45F4}" name="Total Votes by Candidate" dataDxfId="1884" totalsRowDxfId="1883"/>
  </tableColumns>
  <tableStyleInfo name="TableStyleMedium2" showFirstColumn="0" showLastColumn="0" showRowStripes="0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4834BC72-19F7-4883-B516-4DDD2C0C4AFC}" name="GovByAssemblyDistrict18General" displayName="GovByAssemblyDistrict18General" ref="A2:D16" totalsRowCount="1" headerRowDxfId="1882" dataDxfId="1880" headerRowBorderDxfId="1881" tableBorderDxfId="1879" totalsRowBorderDxfId="1878">
  <autoFilter ref="A2:D15" xr:uid="{09E77F8B-5F45-47E7-938D-F52905165A10}">
    <filterColumn colId="0" hiddenButton="1"/>
    <filterColumn colId="1" hiddenButton="1"/>
    <filterColumn colId="2" hiddenButton="1"/>
    <filterColumn colId="3" hiddenButton="1"/>
  </autoFilter>
  <tableColumns count="4">
    <tableColumn id="1" xr3:uid="{05848D6F-AF12-4830-AE10-DEF9F129D00C}" name="Candidate Name (Party)" totalsRowLabel="Total Votes by County" dataDxfId="1877" totalsRowDxfId="1876"/>
    <tableColumn id="4" xr3:uid="{FBC6BE58-D931-44B0-B3D3-6D1040317C22}" name="Part of Nassau County Vote Results" totalsRowFunction="custom" dataDxfId="1875" totalsRowDxfId="1874">
      <totalsRowFormula>SUBTOTAL(109,GovByAssemblyDistrict18General[Total Votes by Candidate])</totalsRowFormula>
    </tableColumn>
    <tableColumn id="3" xr3:uid="{231E52F0-A335-4D95-BFEA-18A06F0172EB}" name="Total Votes by Party" dataDxfId="1873" totalsRowDxfId="1872">
      <calculatedColumnFormula>GovByAssemblyDistrict18General[[#This Row],[Part of Nassau County Vote Results]]</calculatedColumnFormula>
    </tableColumn>
    <tableColumn id="2" xr3:uid="{2E2D7B6D-8413-4871-BB07-37C6367F658E}" name="Total Votes by Candidate" dataDxfId="1871" totalsRowDxfId="1870"/>
  </tableColumns>
  <tableStyleInfo name="TableStyleMedium2" showFirstColumn="0" showLastColumn="0" showRowStripes="0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6D95BA65-0461-449D-8616-81BC10161501}" name="GovByAssemblyDistrict19General" displayName="GovByAssemblyDistrict19General" ref="A2:D16" totalsRowCount="1" headerRowDxfId="1869" dataDxfId="1867" headerRowBorderDxfId="1868" tableBorderDxfId="1866" totalsRowBorderDxfId="1865">
  <autoFilter ref="A2:D15" xr:uid="{CE6FA57A-4FC8-4C5B-98BE-7DD9016DB61F}">
    <filterColumn colId="0" hiddenButton="1"/>
    <filterColumn colId="1" hiddenButton="1"/>
    <filterColumn colId="2" hiddenButton="1"/>
    <filterColumn colId="3" hiddenButton="1"/>
  </autoFilter>
  <tableColumns count="4">
    <tableColumn id="1" xr3:uid="{B0A6D903-AE72-4EB6-9259-173DFDF105E9}" name="Candidate Name (Party)" totalsRowLabel="Total Votes by County" dataDxfId="1864" totalsRowDxfId="1863"/>
    <tableColumn id="4" xr3:uid="{691BE929-A8B9-47F5-A182-D1FF39B874F8}" name="Part of Nassau County Vote Results" totalsRowFunction="custom" dataDxfId="1862" totalsRowDxfId="1861">
      <totalsRowFormula>SUBTOTAL(109,GovByAssemblyDistrict19General[Total Votes by Candidate])</totalsRowFormula>
    </tableColumn>
    <tableColumn id="3" xr3:uid="{600492BA-C146-4CC1-A1DB-28F15AEB4859}" name="Total Votes by Party" dataDxfId="1860" totalsRowDxfId="1859">
      <calculatedColumnFormula>GovByAssemblyDistrict19General[[#This Row],[Part of Nassau County Vote Results]]</calculatedColumnFormula>
    </tableColumn>
    <tableColumn id="2" xr3:uid="{D91E1821-5A0B-4F79-8841-50D6FFF2BF01}" name="Total Votes by Candidate" dataDxfId="1858" totalsRowDxfId="1857"/>
  </tableColumns>
  <tableStyleInfo name="TableStyleMedium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F302F32D-AB84-4E78-B07C-5D24E954E086}" name="GovByAssemblyDistrict2General" displayName="GovByAssemblyDistrict2General" ref="A2:D16" totalsRowCount="1" headerRowDxfId="2092" dataDxfId="2090" headerRowBorderDxfId="2091" tableBorderDxfId="2089" totalsRowBorderDxfId="2088">
  <autoFilter ref="A2:D15" xr:uid="{93C4D234-F901-424F-B912-ECB23A5BAF46}">
    <filterColumn colId="0" hiddenButton="1"/>
    <filterColumn colId="1" hiddenButton="1"/>
    <filterColumn colId="2" hiddenButton="1"/>
    <filterColumn colId="3" hiddenButton="1"/>
  </autoFilter>
  <tableColumns count="4">
    <tableColumn id="1" xr3:uid="{D37A87D2-185A-48CC-AF2A-554CB47174D5}" name="Candidate Name (Party)" totalsRowLabel="Total Votes by County" dataDxfId="2087" totalsRowDxfId="2086"/>
    <tableColumn id="4" xr3:uid="{D730A810-D7EC-49E9-BEFA-2D1F317E3EBE}" name="Part of Suffolk County Vote Results" totalsRowFunction="custom" dataDxfId="2085" totalsRowDxfId="2084">
      <totalsRowFormula>SUBTOTAL(109,GovByAssemblyDistrict2General[Total Votes by Candidate])</totalsRowFormula>
    </tableColumn>
    <tableColumn id="3" xr3:uid="{C7A5368D-ABC8-41E4-A067-6B65F39DA70E}" name="Total Votes by Party" dataDxfId="2083" totalsRowDxfId="2082">
      <calculatedColumnFormula>GovByAssemblyDistrict2General[[#This Row],[Part of Suffolk County Vote Results]]</calculatedColumnFormula>
    </tableColumn>
    <tableColumn id="2" xr3:uid="{1F022EC3-8A3E-4153-8FBF-876145CD8AC1}" name="Total Votes by Candidate" dataDxfId="2081" totalsRowDxfId="2080"/>
  </tableColumns>
  <tableStyleInfo name="TableStyleMedium2" showFirstColumn="0" showLastColumn="0" showRowStripes="0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32CAD6C5-779C-4AF7-A095-75C0032AD413}" name="GovByAssemblyDistrict20General" displayName="GovByAssemblyDistrict20General" ref="A2:D16" totalsRowCount="1" headerRowDxfId="1856" dataDxfId="1854" headerRowBorderDxfId="1855" tableBorderDxfId="1853" totalsRowBorderDxfId="1852">
  <autoFilter ref="A2:D15" xr:uid="{99735A37-FD35-4328-8BB4-5D05D80D6AE9}">
    <filterColumn colId="0" hiddenButton="1"/>
    <filterColumn colId="1" hiddenButton="1"/>
    <filterColumn colId="2" hiddenButton="1"/>
    <filterColumn colId="3" hiddenButton="1"/>
  </autoFilter>
  <tableColumns count="4">
    <tableColumn id="1" xr3:uid="{C79E2574-1508-49B4-B1AC-AA932F640294}" name="Candidate Name (Party)" totalsRowLabel="Total Votes by County" dataDxfId="1851" totalsRowDxfId="1850"/>
    <tableColumn id="4" xr3:uid="{C626F2F8-5079-4D38-B5B4-41FDDC031A55}" name="Part of Nassau County Vote Results" totalsRowFunction="custom" dataDxfId="1849" totalsRowDxfId="1848">
      <totalsRowFormula>SUBTOTAL(109,GovByAssemblyDistrict20General[Total Votes by Candidate])</totalsRowFormula>
    </tableColumn>
    <tableColumn id="3" xr3:uid="{A86078AE-022E-44D1-B2AE-CCB7ED1FC5B8}" name="Total Votes by Party" dataDxfId="1847" totalsRowDxfId="1846">
      <calculatedColumnFormula>GovByAssemblyDistrict20General[[#This Row],[Part of Nassau County Vote Results]]</calculatedColumnFormula>
    </tableColumn>
    <tableColumn id="2" xr3:uid="{352B2A50-7D51-4DBD-9E84-8E8DAB6FE2BF}" name="Total Votes by Candidate" dataDxfId="1845" totalsRowDxfId="1844"/>
  </tableColumns>
  <tableStyleInfo name="TableStyleMedium2" showFirstColumn="0" showLastColumn="0" showRowStripes="0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BF919475-A0F4-45E4-AB98-2E8ED388F7DA}" name="GovByAssemblyDistrict21General" displayName="GovByAssemblyDistrict21General" ref="A2:D16" totalsRowCount="1" headerRowDxfId="1843" dataDxfId="1841" headerRowBorderDxfId="1842" tableBorderDxfId="1840" totalsRowBorderDxfId="1839">
  <autoFilter ref="A2:D15" xr:uid="{3CA27A39-989C-4FD4-9150-3307F83D06D9}">
    <filterColumn colId="0" hiddenButton="1"/>
    <filterColumn colId="1" hiddenButton="1"/>
    <filterColumn colId="2" hiddenButton="1"/>
    <filterColumn colId="3" hiddenButton="1"/>
  </autoFilter>
  <tableColumns count="4">
    <tableColumn id="1" xr3:uid="{E3BF2618-C456-46DB-8286-3AA64BA1A4B6}" name="Candidate Name (Party)" totalsRowLabel="Total Votes by County" dataDxfId="1838" totalsRowDxfId="1837"/>
    <tableColumn id="4" xr3:uid="{A856BFC4-D519-45FD-A5AA-8F5DD491696D}" name="Part of Nassau County Vote Results" totalsRowFunction="custom" dataDxfId="1836" totalsRowDxfId="1835">
      <totalsRowFormula>SUBTOTAL(109,GovByAssemblyDistrict21General[Total Votes by Candidate])</totalsRowFormula>
    </tableColumn>
    <tableColumn id="3" xr3:uid="{5703859A-F375-45B8-811B-9B007889D6DE}" name="Total Votes by Party" dataDxfId="1834" totalsRowDxfId="1833">
      <calculatedColumnFormula>GovByAssemblyDistrict21General[[#This Row],[Part of Nassau County Vote Results]]</calculatedColumnFormula>
    </tableColumn>
    <tableColumn id="2" xr3:uid="{457BD4A8-97D9-4402-BC7B-380657EBB689}" name="Total Votes by Candidate" dataDxfId="1832" totalsRowDxfId="1831"/>
  </tableColumns>
  <tableStyleInfo name="TableStyleMedium2" showFirstColumn="0" showLastColumn="0" showRowStripes="0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C9922A7-E34B-4606-A31E-1A4F3D93CF48}" name="GovByAssemblyDistrict22General" displayName="GovByAssemblyDistrict22General" ref="A2:D16" totalsRowCount="1" headerRowDxfId="1830" dataDxfId="1828" headerRowBorderDxfId="1829" tableBorderDxfId="1827" totalsRowBorderDxfId="1826">
  <autoFilter ref="A2:D15" xr:uid="{8EBA740F-3CAC-49E1-A392-99CA351EFA09}">
    <filterColumn colId="0" hiddenButton="1"/>
    <filterColumn colId="1" hiddenButton="1"/>
    <filterColumn colId="2" hiddenButton="1"/>
    <filterColumn colId="3" hiddenButton="1"/>
  </autoFilter>
  <tableColumns count="4">
    <tableColumn id="1" xr3:uid="{F9E34ED1-41DD-4EB8-879C-5509BEDB374E}" name="Candidate Name (Party)" totalsRowLabel="Total Votes by County" dataDxfId="1825" totalsRowDxfId="1824"/>
    <tableColumn id="4" xr3:uid="{D61E80BF-A79E-4DCE-A43C-D6FF4EDC570D}" name="Part of Nassau County Vote Results" totalsRowFunction="custom" dataDxfId="1823" totalsRowDxfId="1822">
      <totalsRowFormula>SUBTOTAL(109,GovByAssemblyDistrict22General[Total Votes by Candidate])</totalsRowFormula>
    </tableColumn>
    <tableColumn id="3" xr3:uid="{EBFE817F-666C-4F4C-878B-6FA2951A5483}" name="Total Votes by Party" dataDxfId="1821" totalsRowDxfId="1820">
      <calculatedColumnFormula>GovByAssemblyDistrict22General[[#This Row],[Part of Nassau County Vote Results]]</calculatedColumnFormula>
    </tableColumn>
    <tableColumn id="2" xr3:uid="{66B14003-EAEB-40CA-A5F5-FC4C2A68D9E8}" name="Total Votes by Candidate" dataDxfId="1819" totalsRowDxfId="1818"/>
  </tableColumns>
  <tableStyleInfo name="TableStyleMedium2" showFirstColumn="0" showLastColumn="0" showRowStripes="0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622946E0-DDA7-4518-A0A8-E97E5102159A}" name="GovByAssemblyDistrict23General" displayName="GovByAssemblyDistrict23General" ref="A2:D16" totalsRowCount="1" headerRowDxfId="1817" dataDxfId="1815" headerRowBorderDxfId="1816" tableBorderDxfId="1814" totalsRowBorderDxfId="1813">
  <autoFilter ref="A2:D15" xr:uid="{FA116D9B-2C8A-4653-BFAA-1B968A10918B}">
    <filterColumn colId="0" hiddenButton="1"/>
    <filterColumn colId="1" hiddenButton="1"/>
    <filterColumn colId="2" hiddenButton="1"/>
    <filterColumn colId="3" hiddenButton="1"/>
  </autoFilter>
  <tableColumns count="4">
    <tableColumn id="1" xr3:uid="{8166FA76-5420-4927-A20D-993D59BFCA02}" name="Candidate Name (Party)" totalsRowLabel="Total Votes by County" dataDxfId="1812" totalsRowDxfId="1811"/>
    <tableColumn id="4" xr3:uid="{6EEF087C-17AC-4D54-9C3F-FD096E6DCA99}" name="Part of Queens County Vote Results" totalsRowFunction="custom" dataDxfId="1810" totalsRowDxfId="1809">
      <totalsRowFormula>SUBTOTAL(109,GovByAssemblyDistrict23General[Total Votes by Candidate])</totalsRowFormula>
    </tableColumn>
    <tableColumn id="3" xr3:uid="{CB6D8934-6CDB-4EAE-8339-91E01B8126B2}" name="Total Votes by Party" dataDxfId="1808" totalsRowDxfId="1807">
      <calculatedColumnFormula>GovByAssemblyDistrict23General[[#This Row],[Part of Queens County Vote Results]]</calculatedColumnFormula>
    </tableColumn>
    <tableColumn id="2" xr3:uid="{7078AF75-33CC-4F81-8BC1-66AE373FDC51}" name="Total Votes by Candidate" dataDxfId="1806" totalsRowDxfId="1805"/>
  </tableColumns>
  <tableStyleInfo name="TableStyleMedium2" showFirstColumn="0" showLastColumn="0" showRowStripes="0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C61EB67-8DAB-48E9-B3C2-D3061AB34109}" name="GovByAssemblyDistrict24General" displayName="GovByAssemblyDistrict24General" ref="A2:D16" totalsRowCount="1" headerRowDxfId="1804" dataDxfId="1802" headerRowBorderDxfId="1803" tableBorderDxfId="1801" totalsRowBorderDxfId="1800">
  <autoFilter ref="A2:D15" xr:uid="{533CE2C8-6289-4616-999B-307F84E1B98D}">
    <filterColumn colId="0" hiddenButton="1"/>
    <filterColumn colId="1" hiddenButton="1"/>
    <filterColumn colId="2" hiddenButton="1"/>
    <filterColumn colId="3" hiddenButton="1"/>
  </autoFilter>
  <tableColumns count="4">
    <tableColumn id="1" xr3:uid="{DEED8C2C-BEF5-4657-9737-0FF4608B9F66}" name="Candidate Name (Party)" totalsRowLabel="Total Votes by County" dataDxfId="1799" totalsRowDxfId="1798"/>
    <tableColumn id="4" xr3:uid="{9256D2AB-70D4-412B-A03F-731ADF6840B1}" name="Part of Queens County Vote Results" totalsRowFunction="custom" dataDxfId="1797" totalsRowDxfId="1796">
      <totalsRowFormula>SUBTOTAL(109,GovByAssemblyDistrict24General[Total Votes by Candidate])</totalsRowFormula>
    </tableColumn>
    <tableColumn id="3" xr3:uid="{A031F908-5E92-4503-92B2-A74CF00A22AB}" name="Total Votes by Party" dataDxfId="1795" totalsRowDxfId="1794">
      <calculatedColumnFormula>GovByAssemblyDistrict24General[[#This Row],[Part of Queens County Vote Results]]</calculatedColumnFormula>
    </tableColumn>
    <tableColumn id="2" xr3:uid="{D370E7AB-4A38-4662-945C-E40EE63AB72F}" name="Total Votes by Candidate" dataDxfId="1793" totalsRowDxfId="1792"/>
  </tableColumns>
  <tableStyleInfo name="TableStyleMedium2" showFirstColumn="0" showLastColumn="0" showRowStripes="0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504EC15E-4E16-4F5C-B968-F3D9A229151A}" name="GovByAssemblyDistrict25General" displayName="GovByAssemblyDistrict25General" ref="A2:D16" totalsRowCount="1" headerRowDxfId="1791" dataDxfId="1789" headerRowBorderDxfId="1790" tableBorderDxfId="1788" totalsRowBorderDxfId="1787">
  <autoFilter ref="A2:D15" xr:uid="{B53A8156-627D-46A5-B4BE-BA30A1E835BF}">
    <filterColumn colId="0" hiddenButton="1"/>
    <filterColumn colId="1" hiddenButton="1"/>
    <filterColumn colId="2" hiddenButton="1"/>
    <filterColumn colId="3" hiddenButton="1"/>
  </autoFilter>
  <tableColumns count="4">
    <tableColumn id="1" xr3:uid="{17C00461-E83B-439D-8A9D-32B752770623}" name="Candidate Name (Party)" totalsRowLabel="Total Votes by County" dataDxfId="1786" totalsRowDxfId="1785"/>
    <tableColumn id="4" xr3:uid="{CF662FD9-3324-4651-9138-A604AA3087B3}" name="Part of Queens County Vote Results" totalsRowFunction="custom" dataDxfId="1784" totalsRowDxfId="1783">
      <totalsRowFormula>SUBTOTAL(109,GovByAssemblyDistrict25General[Total Votes by Candidate])</totalsRowFormula>
    </tableColumn>
    <tableColumn id="3" xr3:uid="{11F71E5F-28EA-4E71-A15E-D539055C93BF}" name="Total Votes by Party" dataDxfId="1782" totalsRowDxfId="1781">
      <calculatedColumnFormula>GovByAssemblyDistrict25General[[#This Row],[Part of Queens County Vote Results]]</calculatedColumnFormula>
    </tableColumn>
    <tableColumn id="2" xr3:uid="{3EEADDF5-32AC-4148-9F0C-CC0702CAFB3F}" name="Total Votes by Candidate" dataDxfId="1780" totalsRowDxfId="1779"/>
  </tableColumns>
  <tableStyleInfo name="TableStyleMedium2" showFirstColumn="0" showLastColumn="0" showRowStripes="0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CC3F9F3D-3D90-401A-A18C-A376AA4B735F}" name="GovByAssemblyDistrict26General" displayName="GovByAssemblyDistrict26General" ref="A2:D16" totalsRowCount="1" headerRowDxfId="1778" dataDxfId="1776" headerRowBorderDxfId="1777" tableBorderDxfId="1775" totalsRowBorderDxfId="1774">
  <autoFilter ref="A2:D15" xr:uid="{39390917-8144-45F3-BAD9-8F71E3FA755C}">
    <filterColumn colId="0" hiddenButton="1"/>
    <filterColumn colId="1" hiddenButton="1"/>
    <filterColumn colId="2" hiddenButton="1"/>
    <filterColumn colId="3" hiddenButton="1"/>
  </autoFilter>
  <tableColumns count="4">
    <tableColumn id="1" xr3:uid="{FDB327D3-B664-4C9F-B925-C264BE1F800D}" name="Candidate Name (Party)" totalsRowLabel="Total Votes by County" dataDxfId="1773" totalsRowDxfId="1772"/>
    <tableColumn id="4" xr3:uid="{AC0131C9-6BF7-4BCB-9E9A-DB1892FC4C8B}" name="Part of Queens County Vote Results" totalsRowFunction="custom" dataDxfId="1771" totalsRowDxfId="1770">
      <totalsRowFormula>SUBTOTAL(109,GovByAssemblyDistrict26General[Total Votes by Candidate])</totalsRowFormula>
    </tableColumn>
    <tableColumn id="3" xr3:uid="{EAC2F132-7DC8-430D-8D3D-CDE4C0C0F38A}" name="Total Votes by Party" dataDxfId="1769" totalsRowDxfId="1768">
      <calculatedColumnFormula>GovByAssemblyDistrict26General[[#This Row],[Part of Queens County Vote Results]]</calculatedColumnFormula>
    </tableColumn>
    <tableColumn id="2" xr3:uid="{24823511-5367-4A0C-AF89-E969E8E59054}" name="Total Votes by Candidate" dataDxfId="1767" totalsRowDxfId="1766"/>
  </tableColumns>
  <tableStyleInfo name="TableStyleMedium2" showFirstColumn="0" showLastColumn="0" showRowStripes="0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24B299E3-ED99-478D-9F18-0605626F6056}" name="GovByAssemblyDistrict27General" displayName="GovByAssemblyDistrict27General" ref="A2:D16" totalsRowCount="1" headerRowDxfId="1765" dataDxfId="1763" headerRowBorderDxfId="1764" tableBorderDxfId="1762" totalsRowBorderDxfId="1761">
  <autoFilter ref="A2:D15" xr:uid="{8A445289-EA6B-49E5-BB0B-FC3FF7029858}">
    <filterColumn colId="0" hiddenButton="1"/>
    <filterColumn colId="1" hiddenButton="1"/>
    <filterColumn colId="2" hiddenButton="1"/>
    <filterColumn colId="3" hiddenButton="1"/>
  </autoFilter>
  <tableColumns count="4">
    <tableColumn id="1" xr3:uid="{0EEFFFF9-CAAB-411F-B071-48CB71BBFC62}" name="Candidate Name (Party)" totalsRowLabel="Total Votes by County" dataDxfId="1760" totalsRowDxfId="1759"/>
    <tableColumn id="4" xr3:uid="{840FB21B-B766-449D-800A-8BE77417FB24}" name="Part of Queens County Vote Results" totalsRowFunction="custom" dataDxfId="1758" totalsRowDxfId="1757">
      <totalsRowFormula>SUBTOTAL(109,GovByAssemblyDistrict27General[Total Votes by Candidate])</totalsRowFormula>
    </tableColumn>
    <tableColumn id="3" xr3:uid="{FC9A7F94-E91E-4B24-AAC6-EB66B0019B59}" name="Total Votes by Party" dataDxfId="1756" totalsRowDxfId="1755">
      <calculatedColumnFormula>GovByAssemblyDistrict27General[[#This Row],[Part of Queens County Vote Results]]</calculatedColumnFormula>
    </tableColumn>
    <tableColumn id="2" xr3:uid="{BC640834-00D2-430E-B5CA-3B69CB63D6D3}" name="Total Votes by Candidate" dataDxfId="1754" totalsRowDxfId="1753"/>
  </tableColumns>
  <tableStyleInfo name="TableStyleMedium2" showFirstColumn="0" showLastColumn="0" showRowStripes="0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E8DE0922-6C71-470E-B731-80E277DF4D6D}" name="GovByAssemblyDistrict28General" displayName="GovByAssemblyDistrict28General" ref="A2:D16" totalsRowCount="1" headerRowDxfId="1752" dataDxfId="1750" headerRowBorderDxfId="1751" tableBorderDxfId="1749" totalsRowBorderDxfId="1748">
  <autoFilter ref="A2:D15" xr:uid="{9215D484-946B-4D55-ADE2-82365C24FF4D}">
    <filterColumn colId="0" hiddenButton="1"/>
    <filterColumn colId="1" hiddenButton="1"/>
    <filterColumn colId="2" hiddenButton="1"/>
    <filterColumn colId="3" hiddenButton="1"/>
  </autoFilter>
  <tableColumns count="4">
    <tableColumn id="1" xr3:uid="{FE8BCC51-E912-4ED9-B334-DD9DEC11B9FF}" name="Candidate Name (Party)" totalsRowLabel="Total Votes by County" dataDxfId="1747" totalsRowDxfId="1746"/>
    <tableColumn id="4" xr3:uid="{82CDBCB8-03E9-4F4A-A0D5-54424FA19298}" name="Part of Queens County Vote Results" totalsRowFunction="custom" dataDxfId="1745" totalsRowDxfId="1744">
      <totalsRowFormula>SUBTOTAL(109,GovByAssemblyDistrict28General[Total Votes by Candidate])</totalsRowFormula>
    </tableColumn>
    <tableColumn id="3" xr3:uid="{8C52392A-A946-4AC1-B133-CC3C8E34539A}" name="Total Votes by Party" dataDxfId="1743" totalsRowDxfId="1742">
      <calculatedColumnFormula>GovByAssemblyDistrict28General[[#This Row],[Part of Queens County Vote Results]]</calculatedColumnFormula>
    </tableColumn>
    <tableColumn id="2" xr3:uid="{6E354F03-9386-4DAD-97DD-C793BAC6641A}" name="Total Votes by Candidate" dataDxfId="1741" totalsRowDxfId="1740"/>
  </tableColumns>
  <tableStyleInfo name="TableStyleMedium2" showFirstColumn="0" showLastColumn="0" showRowStripes="0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808DF2A0-1814-44D9-816C-8300E137E644}" name="GovByAssemblyDistrict29General" displayName="GovByAssemblyDistrict29General" ref="A2:D16" totalsRowCount="1" headerRowDxfId="1739" dataDxfId="1737" headerRowBorderDxfId="1738" tableBorderDxfId="1736" totalsRowBorderDxfId="1735">
  <autoFilter ref="A2:D15" xr:uid="{A2980F21-EA83-4C56-A191-A1853477C3F9}">
    <filterColumn colId="0" hiddenButton="1"/>
    <filterColumn colId="1" hiddenButton="1"/>
    <filterColumn colId="2" hiddenButton="1"/>
    <filterColumn colId="3" hiddenButton="1"/>
  </autoFilter>
  <tableColumns count="4">
    <tableColumn id="1" xr3:uid="{9F02A27A-DBFD-4BD7-8F03-5130D72B2C85}" name="Candidate Name (Party)" totalsRowLabel="Total Votes by County" dataDxfId="1734" totalsRowDxfId="1733"/>
    <tableColumn id="4" xr3:uid="{F19B852A-2B2E-48AD-A20A-45558ACDF66C}" name="Part of Queens County Vote Results" totalsRowFunction="custom" dataDxfId="1732" totalsRowDxfId="1731">
      <totalsRowFormula>SUBTOTAL(109,GovByAssemblyDistrict29General[Total Votes by Candidate])</totalsRowFormula>
    </tableColumn>
    <tableColumn id="3" xr3:uid="{FC43B4A3-B606-4030-BC68-0808FCABF513}" name="Total Votes by Party" dataDxfId="1730" totalsRowDxfId="1729">
      <calculatedColumnFormula>GovByAssemblyDistrict29General[[#This Row],[Part of Queens County Vote Results]]</calculatedColumnFormula>
    </tableColumn>
    <tableColumn id="2" xr3:uid="{997F7A2A-CFAF-4939-92A0-41CA51F19428}" name="Total Votes by Candidate" dataDxfId="1728" totalsRowDxfId="1727"/>
  </tableColumns>
  <tableStyleInfo name="TableStyleMedium2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85E58178-3E3F-41E6-96A8-8681BF0A7A99}" name="GovByAssemblyDistrict3General" displayName="GovByAssemblyDistrict3General" ref="A2:D16" totalsRowCount="1" headerRowDxfId="2079" dataDxfId="2077" headerRowBorderDxfId="2078" tableBorderDxfId="2076" totalsRowBorderDxfId="2075">
  <autoFilter ref="A2:D15" xr:uid="{1F9F200F-B4BF-4005-A409-6FE6C2F7C5C1}">
    <filterColumn colId="0" hiddenButton="1"/>
    <filterColumn colId="1" hiddenButton="1"/>
    <filterColumn colId="2" hiddenButton="1"/>
    <filterColumn colId="3" hiddenButton="1"/>
  </autoFilter>
  <tableColumns count="4">
    <tableColumn id="1" xr3:uid="{AC966691-C8E6-47F3-9069-DCC525F4AC77}" name="Candidate Name (Party)" totalsRowLabel="Total Votes by County" dataDxfId="2074" totalsRowDxfId="2073"/>
    <tableColumn id="4" xr3:uid="{DC36C212-ED92-48E0-BAD7-5FCF29F764C4}" name="Part of Suffolk County Vote Results" totalsRowFunction="custom" dataDxfId="2072" totalsRowDxfId="2071">
      <totalsRowFormula>SUBTOTAL(109,GovByAssemblyDistrict3General[Total Votes by Candidate])</totalsRowFormula>
    </tableColumn>
    <tableColumn id="3" xr3:uid="{E7802474-83AE-425F-829D-C2ACB0360601}" name="Total Votes by Party" dataDxfId="2070" totalsRowDxfId="2069">
      <calculatedColumnFormula>GovByAssemblyDistrict3General[[#This Row],[Part of Suffolk County Vote Results]]</calculatedColumnFormula>
    </tableColumn>
    <tableColumn id="2" xr3:uid="{C96E3F30-78D0-4C03-9FAD-13E5D8D9D1F3}" name="Total Votes by Candidate" dataDxfId="2068" totalsRowDxfId="2067"/>
  </tableColumns>
  <tableStyleInfo name="TableStyleMedium2" showFirstColumn="0" showLastColumn="0" showRowStripes="0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A4BFC4C9-C98F-4752-ABF7-EA9A5F8BED4D}" name="GovByAssemblyDistrict30General" displayName="GovByAssemblyDistrict30General" ref="A2:D16" totalsRowCount="1" headerRowDxfId="1726" dataDxfId="1724" headerRowBorderDxfId="1725" tableBorderDxfId="1723" totalsRowBorderDxfId="1722">
  <autoFilter ref="A2:D15" xr:uid="{9B40DACE-D225-472A-8678-ED406444FDAF}">
    <filterColumn colId="0" hiddenButton="1"/>
    <filterColumn colId="1" hiddenButton="1"/>
    <filterColumn colId="2" hiddenButton="1"/>
    <filterColumn colId="3" hiddenButton="1"/>
  </autoFilter>
  <tableColumns count="4">
    <tableColumn id="1" xr3:uid="{8668504A-E40B-4120-944B-3BBB717F6B50}" name="Candidate Name (Party)" totalsRowLabel="Total Votes by County" dataDxfId="1721" totalsRowDxfId="1720"/>
    <tableColumn id="4" xr3:uid="{B2168B7D-1597-42D2-AE0B-876A71224701}" name="Part of Queens County Vote Results" totalsRowFunction="custom" dataDxfId="1719" totalsRowDxfId="1718">
      <totalsRowFormula>SUBTOTAL(109,GovByAssemblyDistrict30General[Total Votes by Candidate])</totalsRowFormula>
    </tableColumn>
    <tableColumn id="3" xr3:uid="{5138DBBF-6C59-49CF-9678-D24A3DB2102C}" name="Total Votes by Party" dataDxfId="1717" totalsRowDxfId="1716">
      <calculatedColumnFormula>GovByAssemblyDistrict30General[[#This Row],[Part of Queens County Vote Results]]</calculatedColumnFormula>
    </tableColumn>
    <tableColumn id="2" xr3:uid="{C922DC3B-2407-44DC-9D77-54BE0F5F905B}" name="Total Votes by Candidate" dataDxfId="1715" totalsRowDxfId="1714"/>
  </tableColumns>
  <tableStyleInfo name="TableStyleMedium2" showFirstColumn="0" showLastColumn="0" showRowStripes="0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29556897-64B6-4848-B21D-C96A522F7874}" name="GovByAssemblyDistrict31General" displayName="GovByAssemblyDistrict31General" ref="A2:D16" totalsRowCount="1" headerRowDxfId="1713" dataDxfId="1711" headerRowBorderDxfId="1712" tableBorderDxfId="1710" totalsRowBorderDxfId="1709">
  <autoFilter ref="A2:D15" xr:uid="{388F2E81-5C2B-4C22-8F94-B5821295FD3F}">
    <filterColumn colId="0" hiddenButton="1"/>
    <filterColumn colId="1" hiddenButton="1"/>
    <filterColumn colId="2" hiddenButton="1"/>
    <filterColumn colId="3" hiddenButton="1"/>
  </autoFilter>
  <tableColumns count="4">
    <tableColumn id="1" xr3:uid="{1B28E56F-D515-4E7A-B2C6-1AD79F924853}" name="Candidate Name (Party)" totalsRowLabel="Total Votes by County" dataDxfId="1708" totalsRowDxfId="1707"/>
    <tableColumn id="4" xr3:uid="{1C100963-9D44-4A7C-A045-D34ED03904F4}" name="Part of Queens County Vote Results" totalsRowFunction="custom" dataDxfId="1706" totalsRowDxfId="1705">
      <totalsRowFormula>SUBTOTAL(109,GovByAssemblyDistrict31General[Total Votes by Candidate])</totalsRowFormula>
    </tableColumn>
    <tableColumn id="3" xr3:uid="{4529E23F-8829-453F-AF48-D77370009381}" name="Total Votes by Party" dataDxfId="1704" totalsRowDxfId="1703">
      <calculatedColumnFormula>GovByAssemblyDistrict31General[[#This Row],[Part of Queens County Vote Results]]</calculatedColumnFormula>
    </tableColumn>
    <tableColumn id="2" xr3:uid="{5D506B35-2111-4859-94DE-D695864C36AD}" name="Total Votes by Candidate" dataDxfId="1702" totalsRowDxfId="1701"/>
  </tableColumns>
  <tableStyleInfo name="TableStyleMedium2" showFirstColumn="0" showLastColumn="0" showRowStripes="0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665B0E07-BAAE-4A9F-ACE0-1D447A75F1F4}" name="GovByAssemblyDistrict32General" displayName="GovByAssemblyDistrict32General" ref="A2:D16" totalsRowCount="1" headerRowDxfId="1700" dataDxfId="1698" headerRowBorderDxfId="1699" tableBorderDxfId="1697" totalsRowBorderDxfId="1696">
  <autoFilter ref="A2:D15" xr:uid="{433E6B6A-BC5F-46D3-99DF-3B2BC1B99539}">
    <filterColumn colId="0" hiddenButton="1"/>
    <filterColumn colId="1" hiddenButton="1"/>
    <filterColumn colId="2" hiddenButton="1"/>
    <filterColumn colId="3" hiddenButton="1"/>
  </autoFilter>
  <tableColumns count="4">
    <tableColumn id="1" xr3:uid="{958A6C64-90CB-4557-A8C9-DEC024804A9C}" name="Candidate Name (Party)" totalsRowLabel="Total Votes by County" dataDxfId="1695" totalsRowDxfId="1694"/>
    <tableColumn id="4" xr3:uid="{14272E05-CE6C-4670-90CB-D0479185952D}" name="Part of Queens County Vote Results" totalsRowFunction="custom" dataDxfId="1693" totalsRowDxfId="1692">
      <totalsRowFormula>SUBTOTAL(109,GovByAssemblyDistrict32General[Total Votes by Candidate])</totalsRowFormula>
    </tableColumn>
    <tableColumn id="3" xr3:uid="{54877704-A311-4E99-AEC1-5415D6870F0D}" name="Total Votes by Party" dataDxfId="1691" totalsRowDxfId="1690">
      <calculatedColumnFormula>GovByAssemblyDistrict32General[[#This Row],[Part of Queens County Vote Results]]</calculatedColumnFormula>
    </tableColumn>
    <tableColumn id="2" xr3:uid="{0050ADBC-7B97-4C39-AA37-123D3501DFE2}" name="Total Votes by Candidate" dataDxfId="1689" totalsRowDxfId="1688"/>
  </tableColumns>
  <tableStyleInfo name="TableStyleMedium2" showFirstColumn="0" showLastColumn="0" showRowStripes="0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1FCA4C75-134B-49A6-BB48-58C5E6B6D2E0}" name="GovByAssemblyDistrict33General" displayName="GovByAssemblyDistrict33General" ref="A2:D16" totalsRowCount="1" headerRowDxfId="1687" dataDxfId="1685" headerRowBorderDxfId="1686" tableBorderDxfId="1684" totalsRowBorderDxfId="1683">
  <autoFilter ref="A2:D15" xr:uid="{81460E54-3C34-4EE4-8865-5861CE5C7019}">
    <filterColumn colId="0" hiddenButton="1"/>
    <filterColumn colId="1" hiddenButton="1"/>
    <filterColumn colId="2" hiddenButton="1"/>
    <filterColumn colId="3" hiddenButton="1"/>
  </autoFilter>
  <tableColumns count="4">
    <tableColumn id="1" xr3:uid="{8E58DEAD-E106-4F6F-8BC7-0832C8E4B72A}" name="Candidate Name (Party)" totalsRowLabel="Total Votes by County" dataDxfId="1682" totalsRowDxfId="1681"/>
    <tableColumn id="4" xr3:uid="{C9466834-631A-4BB8-94BE-2E75176EE409}" name="Part of Queens County Vote Results" totalsRowFunction="custom" dataDxfId="1680" totalsRowDxfId="1679">
      <totalsRowFormula>SUBTOTAL(109,GovByAssemblyDistrict33General[Total Votes by Candidate])</totalsRowFormula>
    </tableColumn>
    <tableColumn id="3" xr3:uid="{91DF4E84-D5BB-4F44-ACCA-F248CB8EA3D7}" name="Total Votes by Party" dataDxfId="1678" totalsRowDxfId="1677">
      <calculatedColumnFormula>GovByAssemblyDistrict33General[[#This Row],[Part of Queens County Vote Results]]</calculatedColumnFormula>
    </tableColumn>
    <tableColumn id="2" xr3:uid="{17FA9582-B944-43FA-9638-8EE55E2C423B}" name="Total Votes by Candidate" dataDxfId="1676" totalsRowDxfId="1675"/>
  </tableColumns>
  <tableStyleInfo name="TableStyleMedium2" showFirstColumn="0" showLastColumn="0" showRowStripes="0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6D4FE0EE-0A2E-41C8-B56E-A5FCA77A884D}" name="GovByAssemblyDistrict34General" displayName="GovByAssemblyDistrict34General" ref="A2:D16" totalsRowCount="1" headerRowDxfId="1674" dataDxfId="1672" headerRowBorderDxfId="1673" tableBorderDxfId="1671" totalsRowBorderDxfId="1670">
  <autoFilter ref="A2:D15" xr:uid="{450103A4-CAFA-4A12-A506-04683F6A3803}">
    <filterColumn colId="0" hiddenButton="1"/>
    <filterColumn colId="1" hiddenButton="1"/>
    <filterColumn colId="2" hiddenButton="1"/>
    <filterColumn colId="3" hiddenButton="1"/>
  </autoFilter>
  <tableColumns count="4">
    <tableColumn id="1" xr3:uid="{DD26962D-C2C1-4557-B5C8-B67558F77018}" name="Candidate Name (Party)" totalsRowLabel="Total Votes by County" dataDxfId="1669" totalsRowDxfId="1668"/>
    <tableColumn id="4" xr3:uid="{D7098B51-94FB-4185-9161-BB96A1E11B93}" name="Part of Queens County Vote Results" totalsRowFunction="custom" dataDxfId="1667" totalsRowDxfId="1666">
      <totalsRowFormula>SUBTOTAL(109,GovByAssemblyDistrict34General[Total Votes by Candidate])</totalsRowFormula>
    </tableColumn>
    <tableColumn id="3" xr3:uid="{B9CB133B-C071-4CF5-9135-80F69FBFBE92}" name="Total Votes by Party" dataDxfId="1665" totalsRowDxfId="1664">
      <calculatedColumnFormula>GovByAssemblyDistrict34General[[#This Row],[Part of Queens County Vote Results]]</calculatedColumnFormula>
    </tableColumn>
    <tableColumn id="2" xr3:uid="{8340310E-AD6F-4D4B-8E62-C315D6F8C2CC}" name="Total Votes by Candidate" dataDxfId="1663" totalsRowDxfId="1662"/>
  </tableColumns>
  <tableStyleInfo name="TableStyleMedium2" showFirstColumn="0" showLastColumn="0" showRowStripes="0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A71AC2BE-BBA8-4605-BF8F-62A795D3D5DA}" name="GovByAssemblyDistrict35General" displayName="GovByAssemblyDistrict35General" ref="A2:D16" totalsRowCount="1" headerRowDxfId="1661" dataDxfId="1659" headerRowBorderDxfId="1660" tableBorderDxfId="1658" totalsRowBorderDxfId="1657">
  <autoFilter ref="A2:D15" xr:uid="{8CC5C1A1-29C4-4CCD-BC36-55DF47F2F6F9}">
    <filterColumn colId="0" hiddenButton="1"/>
    <filterColumn colId="1" hiddenButton="1"/>
    <filterColumn colId="2" hiddenButton="1"/>
    <filterColumn colId="3" hiddenButton="1"/>
  </autoFilter>
  <tableColumns count="4">
    <tableColumn id="1" xr3:uid="{B7B51401-F9A4-489A-BEA7-D2B768AD3329}" name="Candidate Name (Party)" totalsRowLabel="Total Votes by County" dataDxfId="1656" totalsRowDxfId="1655"/>
    <tableColumn id="4" xr3:uid="{0E4FAEA6-3984-4964-AD3C-FB0EFAAF580E}" name="Part of Queens County Vote Results" totalsRowFunction="custom" dataDxfId="1654" totalsRowDxfId="1653">
      <totalsRowFormula>SUBTOTAL(109,GovByAssemblyDistrict35General[Total Votes by Candidate])</totalsRowFormula>
    </tableColumn>
    <tableColumn id="3" xr3:uid="{4A35E136-39E6-4D05-84BA-33A204A1F761}" name="Total Votes by Party" dataDxfId="1652" totalsRowDxfId="1651">
      <calculatedColumnFormula>GovByAssemblyDistrict35General[[#This Row],[Part of Queens County Vote Results]]</calculatedColumnFormula>
    </tableColumn>
    <tableColumn id="2" xr3:uid="{DF658CC7-F86B-4EEC-8E1B-4162FA9EEA91}" name="Total Votes by Candidate" dataDxfId="1650" totalsRowDxfId="1649"/>
  </tableColumns>
  <tableStyleInfo name="TableStyleMedium2" showFirstColumn="0" showLastColumn="0" showRowStripes="0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B74B6863-B531-4C73-8278-74A59D2A387A}" name="GovByAssemblyDistrict36General" displayName="GovByAssemblyDistrict36General" ref="A2:D16" totalsRowCount="1" headerRowDxfId="1648" dataDxfId="1646" headerRowBorderDxfId="1647" tableBorderDxfId="1645" totalsRowBorderDxfId="1644">
  <autoFilter ref="A2:D15" xr:uid="{067DA15D-4925-4CBD-980B-995EE0244140}">
    <filterColumn colId="0" hiddenButton="1"/>
    <filterColumn colId="1" hiddenButton="1"/>
    <filterColumn colId="2" hiddenButton="1"/>
    <filterColumn colId="3" hiddenButton="1"/>
  </autoFilter>
  <tableColumns count="4">
    <tableColumn id="1" xr3:uid="{D909C551-4239-49BA-B196-2EF364A7E5C1}" name="Candidate Name (Party)" totalsRowLabel="Total Votes by County" dataDxfId="1643" totalsRowDxfId="1642"/>
    <tableColumn id="4" xr3:uid="{8C073B21-EE37-48FD-B502-1B4C345606FE}" name="Part of Queens County Vote Results" totalsRowFunction="custom" dataDxfId="1641" totalsRowDxfId="1640">
      <totalsRowFormula>SUBTOTAL(109,GovByAssemblyDistrict36General[Total Votes by Candidate])</totalsRowFormula>
    </tableColumn>
    <tableColumn id="3" xr3:uid="{3485525C-82DE-415C-922E-005823D5ED8B}" name="Total Votes by Party" dataDxfId="1639" totalsRowDxfId="1638">
      <calculatedColumnFormula>GovByAssemblyDistrict36General[[#This Row],[Part of Queens County Vote Results]]</calculatedColumnFormula>
    </tableColumn>
    <tableColumn id="2" xr3:uid="{E573E753-5B96-488E-995F-1ACB40607C13}" name="Total Votes by Candidate" dataDxfId="1637" totalsRowDxfId="1636"/>
  </tableColumns>
  <tableStyleInfo name="TableStyleMedium2" showFirstColumn="0" showLastColumn="0" showRowStripes="0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E866ED75-3C78-4099-8639-521A10F310E1}" name="GovByAssemblyDistrict37General" displayName="GovByAssemblyDistrict37General" ref="A2:D16" totalsRowCount="1" headerRowDxfId="1635" dataDxfId="1633" headerRowBorderDxfId="1634" tableBorderDxfId="1632" totalsRowBorderDxfId="1631">
  <autoFilter ref="A2:D15" xr:uid="{4527F6A2-46AE-4A27-9918-08E08BF7D5B4}">
    <filterColumn colId="0" hiddenButton="1"/>
    <filterColumn colId="1" hiddenButton="1"/>
    <filterColumn colId="2" hiddenButton="1"/>
    <filterColumn colId="3" hiddenButton="1"/>
  </autoFilter>
  <tableColumns count="4">
    <tableColumn id="1" xr3:uid="{31B977C7-A20D-40EE-AD19-212DAA2D9D8C}" name="Candidate Name (Party)" totalsRowLabel="Total Votes by County" dataDxfId="1630" totalsRowDxfId="1629"/>
    <tableColumn id="4" xr3:uid="{44640760-2D07-4690-8852-277973AB162B}" name="Part of Queens County Vote Results" totalsRowFunction="custom" dataDxfId="1628" totalsRowDxfId="1627">
      <totalsRowFormula>SUBTOTAL(109,GovByAssemblyDistrict37General[Total Votes by Candidate])</totalsRowFormula>
    </tableColumn>
    <tableColumn id="3" xr3:uid="{88B95526-6314-4C20-B8E8-6E949F109F11}" name="Total Votes by Party" dataDxfId="1626" totalsRowDxfId="1625">
      <calculatedColumnFormula>GovByAssemblyDistrict37General[[#This Row],[Part of Queens County Vote Results]]</calculatedColumnFormula>
    </tableColumn>
    <tableColumn id="2" xr3:uid="{6D390B28-C3CD-4E67-9E3C-325465615B40}" name="Total Votes by Candidate" dataDxfId="1624" totalsRowDxfId="1623"/>
  </tableColumns>
  <tableStyleInfo name="TableStyleMedium2" showFirstColumn="0" showLastColumn="0" showRowStripes="0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D1329E47-367F-44A8-A2DC-2CE727F0122C}" name="GovByAssemblyDistrict38General" displayName="GovByAssemblyDistrict38General" ref="A2:D16" totalsRowCount="1" headerRowDxfId="1622" dataDxfId="1620" headerRowBorderDxfId="1621" tableBorderDxfId="1619" totalsRowBorderDxfId="1618">
  <autoFilter ref="A2:D15" xr:uid="{50F9C529-0714-4182-955A-D4116A313517}">
    <filterColumn colId="0" hiddenButton="1"/>
    <filterColumn colId="1" hiddenButton="1"/>
    <filterColumn colId="2" hiddenButton="1"/>
    <filterColumn colId="3" hiddenButton="1"/>
  </autoFilter>
  <tableColumns count="4">
    <tableColumn id="1" xr3:uid="{CB14DB9A-ECB9-4C1F-B3CF-4C297E41821D}" name="Candidate Name (Party)" totalsRowLabel="Total Votes by County" dataDxfId="1617" totalsRowDxfId="1616"/>
    <tableColumn id="4" xr3:uid="{10AC4C93-49AE-4303-92D0-CE27AB64B696}" name="Part of Queens County Vote Results" totalsRowFunction="custom" dataDxfId="1615" totalsRowDxfId="1614">
      <totalsRowFormula>SUBTOTAL(109,GovByAssemblyDistrict38General[Total Votes by Candidate])</totalsRowFormula>
    </tableColumn>
    <tableColumn id="3" xr3:uid="{83DF2DC1-ABFB-4B0F-B6DD-D42A254B6E7F}" name="Total Votes by Party" dataDxfId="1613" totalsRowDxfId="1612">
      <calculatedColumnFormula>GovByAssemblyDistrict38General[[#This Row],[Part of Queens County Vote Results]]</calculatedColumnFormula>
    </tableColumn>
    <tableColumn id="2" xr3:uid="{F8FE140C-E538-442A-A3B0-0238E9131C8E}" name="Total Votes by Candidate" dataDxfId="1611" totalsRowDxfId="1610"/>
  </tableColumns>
  <tableStyleInfo name="TableStyleMedium2" showFirstColumn="0" showLastColumn="0" showRowStripes="0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90039C81-1999-4A8B-893C-B7ECE4652016}" name="GovByAssemblyDistrict39General" displayName="GovByAssemblyDistrict39General" ref="A2:D16" totalsRowCount="1" headerRowDxfId="1609" dataDxfId="1607" headerRowBorderDxfId="1608" tableBorderDxfId="1606" totalsRowBorderDxfId="1605">
  <autoFilter ref="A2:D15" xr:uid="{5E6AEF9F-4393-4E95-927B-C9D8F3F948A3}">
    <filterColumn colId="0" hiddenButton="1"/>
    <filterColumn colId="1" hiddenButton="1"/>
    <filterColumn colId="2" hiddenButton="1"/>
    <filterColumn colId="3" hiddenButton="1"/>
  </autoFilter>
  <tableColumns count="4">
    <tableColumn id="1" xr3:uid="{55F80276-7A95-45BB-8F0E-D9514C3CFDC0}" name="Candidate Name (Party)" totalsRowLabel="Total Votes by County" dataDxfId="1604" totalsRowDxfId="1603"/>
    <tableColumn id="4" xr3:uid="{9364C790-C1A8-4B05-892F-07C9D1A235A0}" name="Part of Queens County Vote Results" totalsRowFunction="custom" dataDxfId="1602" totalsRowDxfId="1601">
      <totalsRowFormula>SUBTOTAL(109,GovByAssemblyDistrict39General[Total Votes by Candidate])</totalsRowFormula>
    </tableColumn>
    <tableColumn id="3" xr3:uid="{3B2B636A-0066-4812-9E3D-85A8BFBD9852}" name="Total Votes by Party" dataDxfId="1600" totalsRowDxfId="1599">
      <calculatedColumnFormula>GovByAssemblyDistrict39General[[#This Row],[Part of Queens County Vote Results]]</calculatedColumnFormula>
    </tableColumn>
    <tableColumn id="2" xr3:uid="{86667441-1359-4710-81BD-64433763A6A7}" name="Total Votes by Candidate" dataDxfId="1598" totalsRowDxfId="1597"/>
  </tableColumns>
  <tableStyleInfo name="TableStyleMedium2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F7257CF-127F-4484-98E9-BDD6D591E0A6}" name="GovByAssemblyDistrict4General" displayName="GovByAssemblyDistrict4General" ref="A2:D16" totalsRowCount="1" headerRowDxfId="2066" dataDxfId="2064" headerRowBorderDxfId="2065" tableBorderDxfId="2063" totalsRowBorderDxfId="2062">
  <autoFilter ref="A2:D15" xr:uid="{995217FF-4081-4B00-A549-9FAB9877A418}">
    <filterColumn colId="0" hiddenButton="1"/>
    <filterColumn colId="1" hiddenButton="1"/>
    <filterColumn colId="2" hiddenButton="1"/>
    <filterColumn colId="3" hiddenButton="1"/>
  </autoFilter>
  <tableColumns count="4">
    <tableColumn id="1" xr3:uid="{6E6D5D96-6DFB-4792-AC8B-65D56E25894F}" name="Candidate Name (Party)" totalsRowLabel="Total Votes by County" dataDxfId="2061" totalsRowDxfId="2060"/>
    <tableColumn id="4" xr3:uid="{B1F49559-B38B-462D-9A3B-4CAE40D86F44}" name="Part of Suffolk County Vote Results" totalsRowFunction="custom" dataDxfId="2059" totalsRowDxfId="2058">
      <totalsRowFormula>SUBTOTAL(109,GovByAssemblyDistrict4General[Total Votes by Candidate])</totalsRowFormula>
    </tableColumn>
    <tableColumn id="3" xr3:uid="{0527CC2F-DD76-4DC5-A8E4-E6638ECFA22F}" name="Total Votes by Party" dataDxfId="2057" totalsRowDxfId="2056">
      <calculatedColumnFormula>GovByAssemblyDistrict4General[[#This Row],[Part of Suffolk County Vote Results]]</calculatedColumnFormula>
    </tableColumn>
    <tableColumn id="2" xr3:uid="{1FC56A98-025E-4073-9BA5-316E01917577}" name="Total Votes by Candidate" dataDxfId="2055" totalsRowDxfId="2054"/>
  </tableColumns>
  <tableStyleInfo name="TableStyleMedium2" showFirstColumn="0" showLastColumn="0" showRowStripes="0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D27DB78D-2C4A-4723-9A35-BDC82EBF565A}" name="GovByAssemblyDistrict40General" displayName="GovByAssemblyDistrict40General" ref="A2:D16" totalsRowCount="1" headerRowDxfId="1596" dataDxfId="1594" headerRowBorderDxfId="1595" tableBorderDxfId="1593" totalsRowBorderDxfId="1592">
  <autoFilter ref="A2:D15" xr:uid="{C51ACCC6-F310-4CDB-A5A9-912E8772CA95}">
    <filterColumn colId="0" hiddenButton="1"/>
    <filterColumn colId="1" hiddenButton="1"/>
    <filterColumn colId="2" hiddenButton="1"/>
    <filterColumn colId="3" hiddenButton="1"/>
  </autoFilter>
  <tableColumns count="4">
    <tableColumn id="1" xr3:uid="{B30534D3-6657-4FD1-9D5A-4662BD123704}" name="Candidate Name (Party)" totalsRowLabel="Total Votes by County" dataDxfId="1591" totalsRowDxfId="1590"/>
    <tableColumn id="4" xr3:uid="{06ADFD60-0005-49F0-B50D-4E543AD3D061}" name="Part of Queens County Vote Results" totalsRowFunction="custom" dataDxfId="1589" totalsRowDxfId="1588">
      <totalsRowFormula>SUBTOTAL(109,GovByAssemblyDistrict40General[Total Votes by Candidate])</totalsRowFormula>
    </tableColumn>
    <tableColumn id="3" xr3:uid="{36C862EA-FCBF-43E6-B781-339DB4D7ED59}" name="Total Votes by Party" dataDxfId="1587" totalsRowDxfId="1586">
      <calculatedColumnFormula>GovByAssemblyDistrict40General[[#This Row],[Part of Queens County Vote Results]]</calculatedColumnFormula>
    </tableColumn>
    <tableColumn id="2" xr3:uid="{44CD852D-2BFB-4344-B4FF-209F212B42F5}" name="Total Votes by Candidate" dataDxfId="1585" totalsRowDxfId="1584"/>
  </tableColumns>
  <tableStyleInfo name="TableStyleMedium2" showFirstColumn="0" showLastColumn="0" showRowStripes="0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70BBA2CA-1A2C-4B80-A573-C3ACECCB8DE0}" name="GovByAssemblyDistrict41General" displayName="GovByAssemblyDistrict41General" ref="A2:D16" totalsRowCount="1" headerRowDxfId="1583" dataDxfId="1581" headerRowBorderDxfId="1582" tableBorderDxfId="1580" totalsRowBorderDxfId="1579">
  <autoFilter ref="A2:D15" xr:uid="{6030CF7C-B472-4C14-8BA4-63C91B6B4056}">
    <filterColumn colId="0" hiddenButton="1"/>
    <filterColumn colId="1" hiddenButton="1"/>
    <filterColumn colId="2" hiddenButton="1"/>
    <filterColumn colId="3" hiddenButton="1"/>
  </autoFilter>
  <tableColumns count="4">
    <tableColumn id="1" xr3:uid="{198897E5-F0DF-4469-8A1B-9E12175391C2}" name="Candidate Name (Party)" totalsRowLabel="Total Votes by County" dataDxfId="1578" totalsRowDxfId="1577"/>
    <tableColumn id="4" xr3:uid="{E0F8B169-868A-4C52-AAD8-3E683542B4F7}" name="Part of Kings County Vote Results" totalsRowFunction="custom" dataDxfId="1576" totalsRowDxfId="1575">
      <totalsRowFormula>SUBTOTAL(109,GovByAssemblyDistrict41General[Total Votes by Candidate])</totalsRowFormula>
    </tableColumn>
    <tableColumn id="3" xr3:uid="{9BADB2C4-32C9-458E-8462-673A5CCE36FB}" name="Total Votes by Party" dataDxfId="1574" totalsRowDxfId="1573">
      <calculatedColumnFormula>GovByAssemblyDistrict41General[[#This Row],[Part of Kings County Vote Results]]</calculatedColumnFormula>
    </tableColumn>
    <tableColumn id="2" xr3:uid="{58F4E2C6-3E5C-44FA-8DA1-05F9FCEE15C1}" name="Total Votes by Candidate" dataDxfId="1572" totalsRowDxfId="1571"/>
  </tableColumns>
  <tableStyleInfo name="TableStyleMedium2" showFirstColumn="0" showLastColumn="0" showRowStripes="0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DCEC2186-0955-4B09-889C-8BACDDAB94C4}" name="GovByAssemblyDistrict42General" displayName="GovByAssemblyDistrict42General" ref="A2:D16" totalsRowCount="1" headerRowDxfId="1570" dataDxfId="1568" headerRowBorderDxfId="1569" tableBorderDxfId="1567" totalsRowBorderDxfId="1566">
  <autoFilter ref="A2:D15" xr:uid="{B331ACC5-04C1-4E18-A66E-C1FE9DFAA029}">
    <filterColumn colId="0" hiddenButton="1"/>
    <filterColumn colId="1" hiddenButton="1"/>
    <filterColumn colId="2" hiddenButton="1"/>
    <filterColumn colId="3" hiddenButton="1"/>
  </autoFilter>
  <tableColumns count="4">
    <tableColumn id="1" xr3:uid="{DCEB2BE6-915B-460C-BFD7-FD27EED79968}" name="Candidate Name (Party)" totalsRowLabel="Total Votes by County" dataDxfId="1565" totalsRowDxfId="1564"/>
    <tableColumn id="4" xr3:uid="{3419FC9B-6948-4B2D-9D12-06B94B79502D}" name="Part of Kings County Vote Results" totalsRowFunction="custom" dataDxfId="1563" totalsRowDxfId="1562">
      <totalsRowFormula>SUBTOTAL(109,GovByAssemblyDistrict42General[Total Votes by Candidate])</totalsRowFormula>
    </tableColumn>
    <tableColumn id="3" xr3:uid="{909CAFC2-8944-410E-896C-ACF7CADBDFCD}" name="Total Votes by Party" dataDxfId="1561" totalsRowDxfId="1560">
      <calculatedColumnFormula>GovByAssemblyDistrict42General[[#This Row],[Part of Kings County Vote Results]]</calculatedColumnFormula>
    </tableColumn>
    <tableColumn id="2" xr3:uid="{A163F604-BF4D-4CD7-ABA3-22CDC7D5779E}" name="Total Votes by Candidate" dataDxfId="1559" totalsRowDxfId="1558"/>
  </tableColumns>
  <tableStyleInfo name="TableStyleMedium2" showFirstColumn="0" showLastColumn="0" showRowStripes="0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70B2D8D3-46E4-4BE2-A0BB-B86F1A4B7567}" name="GovByAssemblyDistrict43General" displayName="GovByAssemblyDistrict43General" ref="A2:D16" totalsRowCount="1" headerRowDxfId="1557" dataDxfId="1555" headerRowBorderDxfId="1556" tableBorderDxfId="1554" totalsRowBorderDxfId="1553">
  <autoFilter ref="A2:D15" xr:uid="{B81716F1-10D8-439A-98EF-452AF714B8BE}">
    <filterColumn colId="0" hiddenButton="1"/>
    <filterColumn colId="1" hiddenButton="1"/>
    <filterColumn colId="2" hiddenButton="1"/>
    <filterColumn colId="3" hiddenButton="1"/>
  </autoFilter>
  <tableColumns count="4">
    <tableColumn id="1" xr3:uid="{7B191085-7E14-4FD3-85A0-DEF9AE70C4F4}" name="Candidate Name (Party)" totalsRowLabel="Total Votes by County" dataDxfId="1552" totalsRowDxfId="1551"/>
    <tableColumn id="4" xr3:uid="{12F4B635-2CDF-400B-A31D-C70CFE06D790}" name="Part of Kings County Vote Results" totalsRowFunction="custom" dataDxfId="1550" totalsRowDxfId="1549">
      <totalsRowFormula>SUBTOTAL(109,GovByAssemblyDistrict43General[Total Votes by Candidate])</totalsRowFormula>
    </tableColumn>
    <tableColumn id="3" xr3:uid="{D8D0DC26-D9C4-4134-BA0E-94F7B7EE4D94}" name="Total Votes by Party" dataDxfId="1548" totalsRowDxfId="1547">
      <calculatedColumnFormula>GovByAssemblyDistrict43General[[#This Row],[Part of Kings County Vote Results]]</calculatedColumnFormula>
    </tableColumn>
    <tableColumn id="2" xr3:uid="{E1F20B67-FBDB-439B-B4AF-525D8F808F0C}" name="Total Votes by Candidate" dataDxfId="1546" totalsRowDxfId="1545"/>
  </tableColumns>
  <tableStyleInfo name="TableStyleMedium2" showFirstColumn="0" showLastColumn="0" showRowStripes="0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8F39CF7A-784F-4B82-9D36-FE7591D5E6B1}" name="GovByAssemblyDistrict44General" displayName="GovByAssemblyDistrict44General" ref="A2:D16" totalsRowCount="1" headerRowDxfId="1544" dataDxfId="1542" headerRowBorderDxfId="1543" tableBorderDxfId="1541" totalsRowBorderDxfId="1540">
  <autoFilter ref="A2:D15" xr:uid="{B000ED59-12D0-4961-B4E7-96149896E23B}">
    <filterColumn colId="0" hiddenButton="1"/>
    <filterColumn colId="1" hiddenButton="1"/>
    <filterColumn colId="2" hiddenButton="1"/>
    <filterColumn colId="3" hiddenButton="1"/>
  </autoFilter>
  <tableColumns count="4">
    <tableColumn id="1" xr3:uid="{6948D3FE-B4AA-46E2-BAA4-CC7D20667258}" name="Candidate Name (Party)" totalsRowLabel="Total Votes by County" dataDxfId="1539" totalsRowDxfId="1538"/>
    <tableColumn id="4" xr3:uid="{5468DFAA-A1DB-47EC-A677-9699BA66C08B}" name="Part of Kings County Vote Results" totalsRowFunction="custom" dataDxfId="1537" totalsRowDxfId="1536">
      <totalsRowFormula>SUBTOTAL(109,GovByAssemblyDistrict44General[Total Votes by Candidate])</totalsRowFormula>
    </tableColumn>
    <tableColumn id="3" xr3:uid="{D5D02B70-3AFA-48F7-9855-F586888556B9}" name="Total Votes by Party" dataDxfId="1535" totalsRowDxfId="1534">
      <calculatedColumnFormula>GovByAssemblyDistrict44General[[#This Row],[Part of Kings County Vote Results]]</calculatedColumnFormula>
    </tableColumn>
    <tableColumn id="2" xr3:uid="{0BEFA921-824C-4633-9B26-DC619546F10F}" name="Total Votes by Candidate" dataDxfId="1533" totalsRowDxfId="1532"/>
  </tableColumns>
  <tableStyleInfo name="TableStyleMedium2" showFirstColumn="0" showLastColumn="0" showRowStripes="0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E0598AFA-70D4-40EB-99E3-71DFE877E24F}" name="GovByAssemblyDistrict45General" displayName="GovByAssemblyDistrict45General" ref="A2:D16" totalsRowCount="1" headerRowDxfId="1531" dataDxfId="1529" headerRowBorderDxfId="1530" tableBorderDxfId="1528" totalsRowBorderDxfId="1527">
  <autoFilter ref="A2:D15" xr:uid="{25176A63-EDC1-436B-9AFF-B446F09C209F}">
    <filterColumn colId="0" hiddenButton="1"/>
    <filterColumn colId="1" hiddenButton="1"/>
    <filterColumn colId="2" hiddenButton="1"/>
    <filterColumn colId="3" hiddenButton="1"/>
  </autoFilter>
  <tableColumns count="4">
    <tableColumn id="1" xr3:uid="{898DFF7C-4B8D-432F-B4C3-57E3F06B8948}" name="Candidate Name (Party)" totalsRowLabel="Total Votes by County" dataDxfId="1526" totalsRowDxfId="1525"/>
    <tableColumn id="4" xr3:uid="{9C5A562A-0021-4618-BF24-F401E908D084}" name="Part of Kings County Vote Results" totalsRowFunction="custom" dataDxfId="1524" totalsRowDxfId="1523">
      <totalsRowFormula>SUBTOTAL(109,GovByAssemblyDistrict45General[Total Votes by Candidate])</totalsRowFormula>
    </tableColumn>
    <tableColumn id="3" xr3:uid="{28CAC608-FF9F-4D1D-8602-BBA45148A80B}" name="Total Votes by Party" dataDxfId="1522" totalsRowDxfId="1521">
      <calculatedColumnFormula>GovByAssemblyDistrict45General[[#This Row],[Part of Kings County Vote Results]]</calculatedColumnFormula>
    </tableColumn>
    <tableColumn id="2" xr3:uid="{199B8A4D-C78D-4BBE-827A-6A712F138DFD}" name="Total Votes by Candidate" dataDxfId="1520" totalsRowDxfId="1519"/>
  </tableColumns>
  <tableStyleInfo name="TableStyleMedium2" showFirstColumn="0" showLastColumn="0" showRowStripes="0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57CDECAA-BC67-4BCA-991C-DE30F071A944}" name="GovByAssemblyDistrict46General" displayName="GovByAssemblyDistrict46General" ref="A2:D16" totalsRowCount="1" headerRowDxfId="1518" dataDxfId="1516" headerRowBorderDxfId="1517" tableBorderDxfId="1515" totalsRowBorderDxfId="1514">
  <autoFilter ref="A2:D15" xr:uid="{ED351C49-07F7-4AFA-BD3A-FC85DC58AC4C}">
    <filterColumn colId="0" hiddenButton="1"/>
    <filterColumn colId="1" hiddenButton="1"/>
    <filterColumn colId="2" hiddenButton="1"/>
    <filterColumn colId="3" hiddenButton="1"/>
  </autoFilter>
  <tableColumns count="4">
    <tableColumn id="1" xr3:uid="{3F0D3EC3-186E-4813-A6AE-A5D9D578DEC5}" name="Candidate Name (Party)" totalsRowLabel="Total Votes by County" dataDxfId="1513" totalsRowDxfId="1512"/>
    <tableColumn id="4" xr3:uid="{4698D025-EDB5-4088-8970-5CA35539F3B0}" name="Part of Kings County Vote Results" totalsRowFunction="custom" dataDxfId="1511" totalsRowDxfId="1510">
      <totalsRowFormula>SUBTOTAL(109,GovByAssemblyDistrict46General[Total Votes by Candidate])</totalsRowFormula>
    </tableColumn>
    <tableColumn id="3" xr3:uid="{529BF45C-2A0E-4664-80C4-7F2EDB7B170B}" name="Total Votes by Party" dataDxfId="1509" totalsRowDxfId="1508">
      <calculatedColumnFormula>GovByAssemblyDistrict46General[[#This Row],[Part of Kings County Vote Results]]</calculatedColumnFormula>
    </tableColumn>
    <tableColumn id="2" xr3:uid="{694E4271-237E-47DA-A26D-4CAE92886D57}" name="Total Votes by Candidate" dataDxfId="1507" totalsRowDxfId="1506"/>
  </tableColumns>
  <tableStyleInfo name="TableStyleMedium2" showFirstColumn="0" showLastColumn="0" showRowStripes="0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06345F53-6F61-44D4-923F-427918F151EB}" name="GovByAssemblyDistrict47General" displayName="GovByAssemblyDistrict47General" ref="A2:D16" totalsRowCount="1" headerRowDxfId="1505" dataDxfId="1503" headerRowBorderDxfId="1504" tableBorderDxfId="1502" totalsRowBorderDxfId="1501">
  <autoFilter ref="A2:D15" xr:uid="{F21B8BD3-1348-45F1-BF3B-6D22D132A57C}">
    <filterColumn colId="0" hiddenButton="1"/>
    <filterColumn colId="1" hiddenButton="1"/>
    <filterColumn colId="2" hiddenButton="1"/>
    <filterColumn colId="3" hiddenButton="1"/>
  </autoFilter>
  <tableColumns count="4">
    <tableColumn id="1" xr3:uid="{1CF9C115-3FFC-4CB2-8A98-A1C3B28606AF}" name="Candidate Name (Party)" totalsRowLabel="Total Votes by County" dataDxfId="1500" totalsRowDxfId="1499"/>
    <tableColumn id="4" xr3:uid="{42E88CEC-1883-4692-B853-8FA9A69D92FD}" name="Part of Kings County Vote Results" totalsRowFunction="custom" dataDxfId="1498" totalsRowDxfId="1497">
      <totalsRowFormula>SUBTOTAL(109,GovByAssemblyDistrict47General[Total Votes by Candidate])</totalsRowFormula>
    </tableColumn>
    <tableColumn id="3" xr3:uid="{41B0BD4E-4236-4F89-A397-9584A89C24A6}" name="Total Votes by Party" dataDxfId="1496" totalsRowDxfId="1495">
      <calculatedColumnFormula>GovByAssemblyDistrict47General[[#This Row],[Part of Kings County Vote Results]]</calculatedColumnFormula>
    </tableColumn>
    <tableColumn id="2" xr3:uid="{5A8D2DB7-C554-4561-A8A1-5EB1322A97AC}" name="Total Votes by Candidate" dataDxfId="1494" totalsRowDxfId="1493"/>
  </tableColumns>
  <tableStyleInfo name="TableStyleMedium2" showFirstColumn="0" showLastColumn="0" showRowStripes="0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E899E23B-799D-4703-82DE-CD773D423AA7}" name="GovByAssemblyDistrict48General" displayName="GovByAssemblyDistrict48General" ref="A2:D16" totalsRowCount="1" headerRowDxfId="1492" dataDxfId="1490" headerRowBorderDxfId="1491" tableBorderDxfId="1489" totalsRowBorderDxfId="1488">
  <autoFilter ref="A2:D15" xr:uid="{8CE7C584-4F1B-4CC5-9E14-DE842D588667}">
    <filterColumn colId="0" hiddenButton="1"/>
    <filterColumn colId="1" hiddenButton="1"/>
    <filterColumn colId="2" hiddenButton="1"/>
    <filterColumn colId="3" hiddenButton="1"/>
  </autoFilter>
  <tableColumns count="4">
    <tableColumn id="1" xr3:uid="{E59E4789-52FF-4D64-B38B-EE50DF56EE13}" name="Candidate Name (Party)" totalsRowLabel="Total Votes by County" dataDxfId="1487" totalsRowDxfId="1486"/>
    <tableColumn id="4" xr3:uid="{A03D3AAE-1F3A-4EFD-8E66-01828704C243}" name="Part of Kings County Vote Results" totalsRowFunction="custom" dataDxfId="1485" totalsRowDxfId="1484">
      <totalsRowFormula>SUBTOTAL(109,GovByAssemblyDistrict48General[Total Votes by Candidate])</totalsRowFormula>
    </tableColumn>
    <tableColumn id="3" xr3:uid="{6AC42161-91F1-4BF3-BE2D-D0B2542D1687}" name="Total Votes by Party" dataDxfId="1483" totalsRowDxfId="1482">
      <calculatedColumnFormula>GovByAssemblyDistrict48General[[#This Row],[Part of Kings County Vote Results]]</calculatedColumnFormula>
    </tableColumn>
    <tableColumn id="2" xr3:uid="{47583340-D929-44DD-A441-BE886A2A8637}" name="Total Votes by Candidate" dataDxfId="1481" totalsRowDxfId="1480"/>
  </tableColumns>
  <tableStyleInfo name="TableStyleMedium2" showFirstColumn="0" showLastColumn="0" showRowStripes="0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5FA6D712-894E-40A3-B16F-52D7701797C6}" name="GovByAssemblyDistrict49General" displayName="GovByAssemblyDistrict49General" ref="A2:D16" totalsRowCount="1" headerRowDxfId="1479" dataDxfId="1477" headerRowBorderDxfId="1478" tableBorderDxfId="1476" totalsRowBorderDxfId="1475">
  <autoFilter ref="A2:D15" xr:uid="{D4B387DB-434B-4B8A-B538-4A7F3ED71F18}">
    <filterColumn colId="0" hiddenButton="1"/>
    <filterColumn colId="1" hiddenButton="1"/>
    <filterColumn colId="2" hiddenButton="1"/>
    <filterColumn colId="3" hiddenButton="1"/>
  </autoFilter>
  <tableColumns count="4">
    <tableColumn id="1" xr3:uid="{5F99DD76-F02C-4CB4-B5F5-3C042C89442D}" name="Candidate Name (Party)" totalsRowLabel="Total Votes by County" dataDxfId="1474" totalsRowDxfId="1473"/>
    <tableColumn id="4" xr3:uid="{CB66ED76-EE0B-4CD6-91A9-AE016A772935}" name="Part of Kings County Vote Results" totalsRowFunction="custom" dataDxfId="1472" totalsRowDxfId="1471">
      <totalsRowFormula>SUBTOTAL(109,GovByAssemblyDistrict49General[Total Votes by Candidate])</totalsRowFormula>
    </tableColumn>
    <tableColumn id="3" xr3:uid="{70846C1E-49FE-41A2-9A5C-8779C3737286}" name="Total Votes by Party" dataDxfId="1470" totalsRowDxfId="1469">
      <calculatedColumnFormula>GovByAssemblyDistrict49General[[#This Row],[Part of Kings County Vote Results]]</calculatedColumnFormula>
    </tableColumn>
    <tableColumn id="2" xr3:uid="{87BB957A-974F-4B59-AB5F-019737AF7F23}" name="Total Votes by Candidate" dataDxfId="1468" totalsRowDxfId="1467"/>
  </tableColumns>
  <tableStyleInfo name="TableStyleMedium2"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958A30DD-8726-4DCF-9A05-225A9E682ABB}" name="GovByAssemblyDistrict5General" displayName="GovByAssemblyDistrict5General" ref="A2:D16" totalsRowCount="1" headerRowDxfId="2053" dataDxfId="2051" headerRowBorderDxfId="2052" tableBorderDxfId="2050" totalsRowBorderDxfId="2049">
  <autoFilter ref="A2:D15" xr:uid="{D27614F0-92CA-4B26-ABA3-449FBA7FAA5B}">
    <filterColumn colId="0" hiddenButton="1"/>
    <filterColumn colId="1" hiddenButton="1"/>
    <filterColumn colId="2" hiddenButton="1"/>
    <filterColumn colId="3" hiddenButton="1"/>
  </autoFilter>
  <tableColumns count="4">
    <tableColumn id="1" xr3:uid="{7E68C5B0-3E06-47F2-AD38-C3F42101D511}" name="Candidate Name (Party)" totalsRowLabel="Total Votes by County" dataDxfId="2048" totalsRowDxfId="2047"/>
    <tableColumn id="4" xr3:uid="{80CC0F5E-B94A-4EA4-91B4-D1780A65D266}" name="Part of Suffolk County Vote Results" totalsRowFunction="custom" dataDxfId="2046" totalsRowDxfId="2045">
      <totalsRowFormula>SUBTOTAL(109,GovByAssemblyDistrict5General[Total Votes by Candidate])</totalsRowFormula>
    </tableColumn>
    <tableColumn id="3" xr3:uid="{FA937E51-1B17-4F4C-8006-BB252F29BA13}" name="Total Votes by Party" dataDxfId="2044" totalsRowDxfId="2043">
      <calculatedColumnFormula>GovByAssemblyDistrict5General[[#This Row],[Part of Suffolk County Vote Results]]</calculatedColumnFormula>
    </tableColumn>
    <tableColumn id="2" xr3:uid="{0C0F54A7-9040-4027-91DB-563FCDA80207}" name="Total Votes by Candidate" dataDxfId="2042" totalsRowDxfId="2041"/>
  </tableColumns>
  <tableStyleInfo name="TableStyleMedium2" showFirstColumn="0" showLastColumn="0" showRowStripes="0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D4A7DD52-A995-470E-AAF7-A95B6A17D995}" name="GovByAssemblyDistrict50General" displayName="GovByAssemblyDistrict50General" ref="A2:D16" totalsRowCount="1" headerRowDxfId="1466" dataDxfId="1464" headerRowBorderDxfId="1465" tableBorderDxfId="1463" totalsRowBorderDxfId="1462">
  <autoFilter ref="A2:D15" xr:uid="{C8C2DC2C-3074-42E6-BBA7-509C528B8EFA}">
    <filterColumn colId="0" hiddenButton="1"/>
    <filterColumn colId="1" hiddenButton="1"/>
    <filterColumn colId="2" hiddenButton="1"/>
    <filterColumn colId="3" hiddenButton="1"/>
  </autoFilter>
  <tableColumns count="4">
    <tableColumn id="1" xr3:uid="{46A3FFAB-A8F0-4BA4-974B-5F51BBDB30DC}" name="Candidate Name (Party)" totalsRowLabel="Total Votes by County" dataDxfId="1461" totalsRowDxfId="1460"/>
    <tableColumn id="4" xr3:uid="{CAC14391-600D-45AE-9C62-BB5858214894}" name="Part of Kings County Vote Results" totalsRowFunction="custom" dataDxfId="1459" totalsRowDxfId="1458">
      <totalsRowFormula>SUBTOTAL(109,GovByAssemblyDistrict50General[Total Votes by Candidate])</totalsRowFormula>
    </tableColumn>
    <tableColumn id="3" xr3:uid="{1F6705D2-B4D7-4F1D-B378-D570C24FA482}" name="Total Votes by Party" dataDxfId="1457" totalsRowDxfId="1456">
      <calculatedColumnFormula>GovByAssemblyDistrict50General[[#This Row],[Part of Kings County Vote Results]]</calculatedColumnFormula>
    </tableColumn>
    <tableColumn id="2" xr3:uid="{15E183EB-4CB0-4129-A51B-982E493F434C}" name="Total Votes by Candidate" dataDxfId="1455" totalsRowDxfId="1454"/>
  </tableColumns>
  <tableStyleInfo name="TableStyleMedium2" showFirstColumn="0" showLastColumn="0" showRowStripes="0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32A31691-7390-4A91-9ECA-C6B5B63F2704}" name="GovByAssemblyDistrict51General" displayName="GovByAssemblyDistrict51General" ref="A2:D16" totalsRowCount="1" headerRowDxfId="1453" dataDxfId="1451" headerRowBorderDxfId="1452" tableBorderDxfId="1450" totalsRowBorderDxfId="1449">
  <autoFilter ref="A2:D15" xr:uid="{072E898B-3D77-43E9-8E01-54852D378233}">
    <filterColumn colId="0" hiddenButton="1"/>
    <filterColumn colId="1" hiddenButton="1"/>
    <filterColumn colId="2" hiddenButton="1"/>
    <filterColumn colId="3" hiddenButton="1"/>
  </autoFilter>
  <tableColumns count="4">
    <tableColumn id="1" xr3:uid="{1DBD90A4-DF91-43FF-9523-F73414DBEB28}" name="Candidate Name (Party)" totalsRowLabel="Total Votes by County" dataDxfId="1448" totalsRowDxfId="1447"/>
    <tableColumn id="4" xr3:uid="{417D24FE-2D3A-49DF-9CC9-7CEF670ADAB6}" name="Part of Kings County Vote Results" totalsRowFunction="custom" dataDxfId="1446" totalsRowDxfId="1445">
      <totalsRowFormula>SUBTOTAL(109,GovByAssemblyDistrict51General[Total Votes by Candidate])</totalsRowFormula>
    </tableColumn>
    <tableColumn id="3" xr3:uid="{62BCF9E9-C708-4F12-BC4B-FD543CF512B3}" name="Total Votes by Party" dataDxfId="1444" totalsRowDxfId="1443">
      <calculatedColumnFormula>GovByAssemblyDistrict51General[[#This Row],[Part of Kings County Vote Results]]</calculatedColumnFormula>
    </tableColumn>
    <tableColumn id="2" xr3:uid="{5BB91372-91A5-4DD8-95B1-B3A506845614}" name="Total Votes by Candidate" dataDxfId="1442" totalsRowDxfId="1441"/>
  </tableColumns>
  <tableStyleInfo name="TableStyleMedium2" showFirstColumn="0" showLastColumn="0" showRowStripes="0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9AF5445A-C8F2-4261-A46B-5D4DC67CCC31}" name="GovByAssemblyDistrict52General" displayName="GovByAssemblyDistrict52General" ref="A2:D16" totalsRowCount="1" headerRowDxfId="1440" dataDxfId="1438" headerRowBorderDxfId="1439" tableBorderDxfId="1437" totalsRowBorderDxfId="1436">
  <autoFilter ref="A2:D15" xr:uid="{604EE983-E277-449C-8442-03D60E3115EA}">
    <filterColumn colId="0" hiddenButton="1"/>
    <filterColumn colId="1" hiddenButton="1"/>
    <filterColumn colId="2" hiddenButton="1"/>
    <filterColumn colId="3" hiddenButton="1"/>
  </autoFilter>
  <tableColumns count="4">
    <tableColumn id="1" xr3:uid="{951D9EFC-B524-4DED-A540-93C88B09BC61}" name="Candidate Name (Party)" totalsRowLabel="Total Votes by County" dataDxfId="1435" totalsRowDxfId="1434"/>
    <tableColumn id="4" xr3:uid="{66542EBE-2A36-400A-ACEA-ECDA7A44934F}" name="Part of Kings County Vote Results" totalsRowFunction="custom" dataDxfId="1433" totalsRowDxfId="1432">
      <totalsRowFormula>SUBTOTAL(109,GovByAssemblyDistrict52General[Total Votes by Candidate])</totalsRowFormula>
    </tableColumn>
    <tableColumn id="3" xr3:uid="{35DDB658-A144-49E2-A6FA-4CD908C522D3}" name="Total Votes by Party" dataDxfId="1431" totalsRowDxfId="1430">
      <calculatedColumnFormula>GovByAssemblyDistrict52General[[#This Row],[Part of Kings County Vote Results]]</calculatedColumnFormula>
    </tableColumn>
    <tableColumn id="2" xr3:uid="{D1BB02A9-6C4A-4B2F-B570-758844748C77}" name="Total Votes by Candidate" dataDxfId="1429" totalsRowDxfId="1428"/>
  </tableColumns>
  <tableStyleInfo name="TableStyleMedium2" showFirstColumn="0" showLastColumn="0" showRowStripes="0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EC36C054-35D9-4039-8DB3-82CBA797EF98}" name="GovByAssemblyDistrict53General" displayName="GovByAssemblyDistrict53General" ref="A2:D16" totalsRowCount="1" headerRowDxfId="1427" dataDxfId="1425" headerRowBorderDxfId="1426" tableBorderDxfId="1424" totalsRowBorderDxfId="1423">
  <autoFilter ref="A2:D15" xr:uid="{6A201A10-D4E7-43E2-A5BE-102B785615AC}">
    <filterColumn colId="0" hiddenButton="1"/>
    <filterColumn colId="1" hiddenButton="1"/>
    <filterColumn colId="2" hiddenButton="1"/>
    <filterColumn colId="3" hiddenButton="1"/>
  </autoFilter>
  <tableColumns count="4">
    <tableColumn id="1" xr3:uid="{36147CF7-7F39-4804-9B88-7671C989A1BD}" name="Candidate Name (Party)" totalsRowLabel="Total Votes by County" dataDxfId="1422" totalsRowDxfId="1421"/>
    <tableColumn id="4" xr3:uid="{7E09345B-100C-4B47-9AB4-D7BFA3379E42}" name="Part of Kings County Vote Results" totalsRowFunction="custom" dataDxfId="1420" totalsRowDxfId="1419">
      <totalsRowFormula>SUBTOTAL(109,GovByAssemblyDistrict53General[Total Votes by Candidate])</totalsRowFormula>
    </tableColumn>
    <tableColumn id="3" xr3:uid="{4CF7E1CA-051A-49ED-BCE6-273453264B70}" name="Total Votes by Party" dataDxfId="1418" totalsRowDxfId="1417">
      <calculatedColumnFormula>GovByAssemblyDistrict53General[[#This Row],[Part of Kings County Vote Results]]</calculatedColumnFormula>
    </tableColumn>
    <tableColumn id="2" xr3:uid="{FE953EDF-ECC0-43E2-A502-CD03A996622A}" name="Total Votes by Candidate" dataDxfId="1416" totalsRowDxfId="1415"/>
  </tableColumns>
  <tableStyleInfo name="TableStyleMedium2" showFirstColumn="0" showLastColumn="0" showRowStripes="0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0280B0B5-19CD-47EE-AE2A-2E53E496FAD7}" name="GovByAssemblyDistrict54General" displayName="GovByAssemblyDistrict54General" ref="A2:D16" totalsRowCount="1" headerRowDxfId="1414" dataDxfId="1412" headerRowBorderDxfId="1413" tableBorderDxfId="1411" totalsRowBorderDxfId="1410">
  <autoFilter ref="A2:D15" xr:uid="{6228AAFE-918A-40A1-B92C-A53360619C78}">
    <filterColumn colId="0" hiddenButton="1"/>
    <filterColumn colId="1" hiddenButton="1"/>
    <filterColumn colId="2" hiddenButton="1"/>
    <filterColumn colId="3" hiddenButton="1"/>
  </autoFilter>
  <tableColumns count="4">
    <tableColumn id="1" xr3:uid="{DF4A82BA-E932-4D13-AFDE-728B6F809E42}" name="Candidate Name (Party)" totalsRowLabel="Total Votes by County" dataDxfId="1409" totalsRowDxfId="1408"/>
    <tableColumn id="4" xr3:uid="{06CE0CBF-A417-450F-8EC2-F3831D4A473A}" name="Part of Kings County Vote Results" totalsRowFunction="custom" dataDxfId="1407" totalsRowDxfId="1406">
      <totalsRowFormula>SUBTOTAL(109,GovByAssemblyDistrict54General[Total Votes by Candidate])</totalsRowFormula>
    </tableColumn>
    <tableColumn id="3" xr3:uid="{C9A56833-4D37-44F8-AF7F-A45AB66F6E12}" name="Total Votes by Party" dataDxfId="1405" totalsRowDxfId="1404">
      <calculatedColumnFormula>GovByAssemblyDistrict54General[[#This Row],[Part of Kings County Vote Results]]</calculatedColumnFormula>
    </tableColumn>
    <tableColumn id="2" xr3:uid="{4CDE0F49-5E03-47A4-B66D-E42D2E66827B}" name="Total Votes by Candidate" dataDxfId="1403" totalsRowDxfId="1402"/>
  </tableColumns>
  <tableStyleInfo name="TableStyleMedium2" showFirstColumn="0" showLastColumn="0" showRowStripes="0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AAD0F259-36CF-4B2E-8CA6-3E5FAD524C9B}" name="GovByAssemblyDistrict55General" displayName="GovByAssemblyDistrict55General" ref="A2:D16" totalsRowCount="1" headerRowDxfId="1401" dataDxfId="1399" headerRowBorderDxfId="1400" tableBorderDxfId="1398" totalsRowBorderDxfId="1397">
  <autoFilter ref="A2:D15" xr:uid="{E0F8E9F6-678E-41BA-85E6-11ECB0C938A1}">
    <filterColumn colId="0" hiddenButton="1"/>
    <filterColumn colId="1" hiddenButton="1"/>
    <filterColumn colId="2" hiddenButton="1"/>
    <filterColumn colId="3" hiddenButton="1"/>
  </autoFilter>
  <tableColumns count="4">
    <tableColumn id="1" xr3:uid="{A68A60EE-4A12-4C7C-88DB-2489F031AC92}" name="Candidate Name (Party)" totalsRowLabel="Total Votes by County" dataDxfId="1396" totalsRowDxfId="1395"/>
    <tableColumn id="4" xr3:uid="{D7B95DBB-C3DF-43FB-B484-E4467FB55F1D}" name="Part of Kings County Vote Results" totalsRowFunction="custom" dataDxfId="1394" totalsRowDxfId="1393">
      <totalsRowFormula>SUBTOTAL(109,GovByAssemblyDistrict55General[Total Votes by Candidate])</totalsRowFormula>
    </tableColumn>
    <tableColumn id="3" xr3:uid="{4B822CA6-305E-463D-9743-E7450DAA8308}" name="Total Votes by Party" dataDxfId="1392" totalsRowDxfId="1391">
      <calculatedColumnFormula>GovByAssemblyDistrict55General[[#This Row],[Part of Kings County Vote Results]]</calculatedColumnFormula>
    </tableColumn>
    <tableColumn id="2" xr3:uid="{B4B4B228-5A23-4188-B2AC-33127550485E}" name="Total Votes by Candidate" dataDxfId="1390" totalsRowDxfId="1389"/>
  </tableColumns>
  <tableStyleInfo name="TableStyleMedium2" showFirstColumn="0" showLastColumn="0" showRowStripes="0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D21B4203-9C0A-4288-B35B-C11359885DBE}" name="GovByAssemblyDistrict56General" displayName="GovByAssemblyDistrict56General" ref="A2:D16" totalsRowCount="1" headerRowDxfId="1388" dataDxfId="1386" headerRowBorderDxfId="1387" tableBorderDxfId="1385" totalsRowBorderDxfId="1384">
  <autoFilter ref="A2:D15" xr:uid="{EA29ECBE-725E-4CC0-902E-E9275EB74021}">
    <filterColumn colId="0" hiddenButton="1"/>
    <filterColumn colId="1" hiddenButton="1"/>
    <filterColumn colId="2" hiddenButton="1"/>
    <filterColumn colId="3" hiddenButton="1"/>
  </autoFilter>
  <tableColumns count="4">
    <tableColumn id="1" xr3:uid="{07CB06AF-B32C-4C5B-AE18-74A240711075}" name="Candidate Name (Party)" totalsRowLabel="Total Votes by County" dataDxfId="1383" totalsRowDxfId="1382"/>
    <tableColumn id="4" xr3:uid="{49C98475-61BB-40CB-914E-293591F3C331}" name="Part of Kings County Vote Results" totalsRowFunction="custom" dataDxfId="1381" totalsRowDxfId="1380">
      <totalsRowFormula>SUBTOTAL(109,GovByAssemblyDistrict56General[Total Votes by Candidate])</totalsRowFormula>
    </tableColumn>
    <tableColumn id="3" xr3:uid="{09D3DA87-9295-4721-83C5-2E29D8C45BB4}" name="Total Votes by Party" dataDxfId="1379" totalsRowDxfId="1378">
      <calculatedColumnFormula>GovByAssemblyDistrict56General[[#This Row],[Part of Kings County Vote Results]]</calculatedColumnFormula>
    </tableColumn>
    <tableColumn id="2" xr3:uid="{19F1B923-BCAB-4BC1-BB0E-EB2F4FA1E1A1}" name="Total Votes by Candidate" dataDxfId="1377" totalsRowDxfId="1376"/>
  </tableColumns>
  <tableStyleInfo name="TableStyleMedium2" showFirstColumn="0" showLastColumn="0" showRowStripes="0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691CD7DA-26DF-4A65-BE2B-853DD3F82050}" name="GovByAssemblyDistrict57General" displayName="GovByAssemblyDistrict57General" ref="A2:D16" totalsRowCount="1" headerRowDxfId="1375" dataDxfId="1373" headerRowBorderDxfId="1374" tableBorderDxfId="1372" totalsRowBorderDxfId="1371">
  <autoFilter ref="A2:D15" xr:uid="{FC5BAF94-216B-4868-839B-48F1AC43E2C3}">
    <filterColumn colId="0" hiddenButton="1"/>
    <filterColumn colId="1" hiddenButton="1"/>
    <filterColumn colId="2" hiddenButton="1"/>
    <filterColumn colId="3" hiddenButton="1"/>
  </autoFilter>
  <tableColumns count="4">
    <tableColumn id="1" xr3:uid="{B9C19448-0F1D-404B-A77B-5683BF7669E6}" name="Candidate Name (Party)" totalsRowLabel="Total Votes by County" dataDxfId="1370" totalsRowDxfId="1369"/>
    <tableColumn id="4" xr3:uid="{88088A46-2A5C-44B3-9D11-8131C991F8C1}" name="Part of Kings County Vote Results" totalsRowFunction="custom" dataDxfId="1368" totalsRowDxfId="1367">
      <totalsRowFormula>SUBTOTAL(109,GovByAssemblyDistrict57General[Total Votes by Candidate])</totalsRowFormula>
    </tableColumn>
    <tableColumn id="3" xr3:uid="{BAF2AB9D-2925-4EEA-A036-E7C8BFDF603F}" name="Total Votes by Party" dataDxfId="1366" totalsRowDxfId="1365">
      <calculatedColumnFormula>GovByAssemblyDistrict57General[[#This Row],[Part of Kings County Vote Results]]</calculatedColumnFormula>
    </tableColumn>
    <tableColumn id="2" xr3:uid="{AA3DDF82-2BAF-499E-8F2F-8F0574E60B15}" name="Total Votes by Candidate" dataDxfId="1364" totalsRowDxfId="1363"/>
  </tableColumns>
  <tableStyleInfo name="TableStyleMedium2" showFirstColumn="0" showLastColumn="0" showRowStripes="0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7ABB97B4-44D3-4DD2-AE72-626F4FB7D0BC}" name="GovByAssemblyDistrict58General" displayName="GovByAssemblyDistrict58General" ref="A2:D16" totalsRowCount="1" headerRowDxfId="1362" dataDxfId="1360" headerRowBorderDxfId="1361" tableBorderDxfId="1359" totalsRowBorderDxfId="1358">
  <autoFilter ref="A2:D15" xr:uid="{F8365ECC-14D2-4BE0-AD73-3087D96618DD}">
    <filterColumn colId="0" hiddenButton="1"/>
    <filterColumn colId="1" hiddenButton="1"/>
    <filterColumn colId="2" hiddenButton="1"/>
    <filterColumn colId="3" hiddenButton="1"/>
  </autoFilter>
  <tableColumns count="4">
    <tableColumn id="1" xr3:uid="{9F5CE9D0-CD42-408F-9E4E-BD96877475D7}" name="Candidate Name (Party)" totalsRowLabel="Total Votes by County" dataDxfId="1357" totalsRowDxfId="1356"/>
    <tableColumn id="4" xr3:uid="{E5F841F8-7C5F-472B-BBB3-A1AB8B1BAB12}" name="Part of Kings County Vote Results" totalsRowFunction="custom" dataDxfId="1355" totalsRowDxfId="1354">
      <totalsRowFormula>SUBTOTAL(109,GovByAssemblyDistrict58General[Total Votes by Candidate])</totalsRowFormula>
    </tableColumn>
    <tableColumn id="3" xr3:uid="{BBEFE7FC-1E56-471E-9E08-BCE8820DC108}" name="Total Votes by Party" dataDxfId="1353" totalsRowDxfId="1352">
      <calculatedColumnFormula>GovByAssemblyDistrict58General[[#This Row],[Part of Kings County Vote Results]]</calculatedColumnFormula>
    </tableColumn>
    <tableColumn id="2" xr3:uid="{5F92F8E7-33C7-4AF9-A55C-891B02B45259}" name="Total Votes by Candidate" dataDxfId="1351" totalsRowDxfId="1350"/>
  </tableColumns>
  <tableStyleInfo name="TableStyleMedium2" showFirstColumn="0" showLastColumn="0" showRowStripes="0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C4628BF5-9974-4CD5-A834-B1DDB2DB7CE5}" name="GovByAssemblyDistrict59General" displayName="GovByAssemblyDistrict59General" ref="A2:D16" totalsRowCount="1" headerRowDxfId="1349" dataDxfId="1347" headerRowBorderDxfId="1348" tableBorderDxfId="1346" totalsRowBorderDxfId="1345">
  <autoFilter ref="A2:D15" xr:uid="{D75AC717-45D8-48AB-BC69-1E8389CCEEAA}">
    <filterColumn colId="0" hiddenButton="1"/>
    <filterColumn colId="1" hiddenButton="1"/>
    <filterColumn colId="2" hiddenButton="1"/>
    <filterColumn colId="3" hiddenButton="1"/>
  </autoFilter>
  <tableColumns count="4">
    <tableColumn id="1" xr3:uid="{F3C7A12A-5ACC-4E7B-8B96-45288383C35B}" name="Candidate Name (Party)" totalsRowLabel="Total Votes by County" dataDxfId="1344" totalsRowDxfId="1343"/>
    <tableColumn id="4" xr3:uid="{F1AF0D5F-A34D-46A8-9364-66D9785B7031}" name="Part of Kings County Vote Results" totalsRowFunction="custom" dataDxfId="1342" totalsRowDxfId="1341">
      <totalsRowFormula>SUBTOTAL(109,GovByAssemblyDistrict59General[Total Votes by Candidate])</totalsRowFormula>
    </tableColumn>
    <tableColumn id="3" xr3:uid="{F43D70D8-4249-4B9B-A977-E02FAA239AC8}" name="Total Votes by Party" dataDxfId="1340" totalsRowDxfId="1339">
      <calculatedColumnFormula>GovByAssemblyDistrict59General[[#This Row],[Part of Kings County Vote Results]]</calculatedColumnFormula>
    </tableColumn>
    <tableColumn id="2" xr3:uid="{DBBD8E90-C469-4D18-9E50-CCF5D5EBF0E1}" name="Total Votes by Candidate" dataDxfId="1338" totalsRowDxfId="1337"/>
  </tableColumns>
  <tableStyleInfo name="TableStyleMedium2" showFirstColumn="0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41027B35-6A47-4A9E-88B6-D6D18E13DF53}" name="GovByAssemblyDistrict6General" displayName="GovByAssemblyDistrict6General" ref="A2:D16" totalsRowCount="1" headerRowDxfId="2040" dataDxfId="2038" headerRowBorderDxfId="2039" tableBorderDxfId="2037" totalsRowBorderDxfId="2036">
  <autoFilter ref="A2:D15" xr:uid="{7248ACC4-4A0C-42B3-B366-B010B4BE2642}">
    <filterColumn colId="0" hiddenButton="1"/>
    <filterColumn colId="1" hiddenButton="1"/>
    <filterColumn colId="2" hiddenButton="1"/>
    <filterColumn colId="3" hiddenButton="1"/>
  </autoFilter>
  <tableColumns count="4">
    <tableColumn id="1" xr3:uid="{B46CE939-2C13-4208-870F-A50B85B02DE3}" name="Candidate Name (Party)" totalsRowLabel="Total Votes by County" dataDxfId="2035" totalsRowDxfId="2034"/>
    <tableColumn id="4" xr3:uid="{3126D374-B837-4B76-8CB2-CE150C37C7C1}" name="Part of Suffolk County Vote Results" totalsRowFunction="custom" dataDxfId="2033" totalsRowDxfId="2032">
      <totalsRowFormula>SUBTOTAL(109,GovByAssemblyDistrict6General[Total Votes by Candidate])</totalsRowFormula>
    </tableColumn>
    <tableColumn id="3" xr3:uid="{9C387D2C-6877-4A97-B493-A92AAB7DC9BB}" name="Total Votes by Party" dataDxfId="2031" totalsRowDxfId="2030">
      <calculatedColumnFormula>GovByAssemblyDistrict6General[[#This Row],[Part of Suffolk County Vote Results]]</calculatedColumnFormula>
    </tableColumn>
    <tableColumn id="2" xr3:uid="{8E48C762-B6E1-4EC3-BF28-800244945F86}" name="Total Votes by Candidate" dataDxfId="2029" totalsRowDxfId="2028"/>
  </tableColumns>
  <tableStyleInfo name="TableStyleMedium2" showFirstColumn="0" showLastColumn="0" showRowStripes="0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0BD04EA9-AECC-4CE3-998C-D8D61D88F35D}" name="GovByAssemblyDistrict60General" displayName="GovByAssemblyDistrict60General" ref="A2:D16" totalsRowCount="1" headerRowDxfId="1336" dataDxfId="1334" headerRowBorderDxfId="1335" tableBorderDxfId="1333" totalsRowBorderDxfId="1332">
  <autoFilter ref="A2:D15" xr:uid="{2399C9A8-406E-403F-951F-9B406B119716}">
    <filterColumn colId="0" hiddenButton="1"/>
    <filterColumn colId="1" hiddenButton="1"/>
    <filterColumn colId="2" hiddenButton="1"/>
    <filterColumn colId="3" hiddenButton="1"/>
  </autoFilter>
  <tableColumns count="4">
    <tableColumn id="1" xr3:uid="{ECC72175-D27A-4BA4-9CAC-017D8A2E3ED5}" name="Candidate Name (Party)" totalsRowLabel="Total Votes by County" dataDxfId="1331" totalsRowDxfId="1330"/>
    <tableColumn id="4" xr3:uid="{CE5C87BE-F360-4ADC-A67C-DF0F25939EAE}" name="Part of Kings County Vote Results" totalsRowFunction="custom" dataDxfId="1329" totalsRowDxfId="1328">
      <totalsRowFormula>SUBTOTAL(109,GovByAssemblyDistrict60General[Total Votes by Candidate])</totalsRowFormula>
    </tableColumn>
    <tableColumn id="3" xr3:uid="{E7D5F01B-6F09-4F33-AB0F-41B2C65095D4}" name="Total Votes by Party" dataDxfId="1327" totalsRowDxfId="1326">
      <calculatedColumnFormula>GovByAssemblyDistrict60General[[#This Row],[Part of Kings County Vote Results]]</calculatedColumnFormula>
    </tableColumn>
    <tableColumn id="2" xr3:uid="{F936E498-2CB9-456F-942A-5A2CB4D8F0CD}" name="Total Votes by Candidate" dataDxfId="1325" totalsRowDxfId="1324"/>
  </tableColumns>
  <tableStyleInfo name="TableStyleMedium2" showFirstColumn="0" showLastColumn="0" showRowStripes="0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" xr:uid="{1DA605A4-2833-4CA1-A38F-25EE16C2A96A}" name="GovByAssemblyDistrict61General" displayName="GovByAssemblyDistrict61General" ref="A2:D16" totalsRowCount="1" headerRowDxfId="1323" dataDxfId="1321" headerRowBorderDxfId="1322" tableBorderDxfId="1320" totalsRowBorderDxfId="1319">
  <autoFilter ref="A2:D15" xr:uid="{73AFF652-36CD-4964-8F19-7DEA4E56A2B1}">
    <filterColumn colId="0" hiddenButton="1"/>
    <filterColumn colId="1" hiddenButton="1"/>
    <filterColumn colId="2" hiddenButton="1"/>
    <filterColumn colId="3" hiddenButton="1"/>
  </autoFilter>
  <tableColumns count="4">
    <tableColumn id="1" xr3:uid="{28D8058F-3CC6-4DFC-AFDF-40B3AD6675A7}" name="Candidate Name (Party)" totalsRowLabel="Total Votes by County" dataDxfId="1318" totalsRowDxfId="1317"/>
    <tableColumn id="4" xr3:uid="{7DAD9627-7387-4FF1-A912-C736CC60B981}" name="Part of Richmond County Vote Results" totalsRowFunction="custom" dataDxfId="1316" totalsRowDxfId="1315">
      <totalsRowFormula>SUBTOTAL(109,GovByAssemblyDistrict61General[Total Votes by Candidate])</totalsRowFormula>
    </tableColumn>
    <tableColumn id="3" xr3:uid="{14CE526F-0F32-4FA1-A1AE-3E3DE53A6A9B}" name="Total Votes by Party" dataDxfId="1314" totalsRowDxfId="1313">
      <calculatedColumnFormula>GovByAssemblyDistrict61General[[#This Row],[Part of Richmond County Vote Results]]</calculatedColumnFormula>
    </tableColumn>
    <tableColumn id="2" xr3:uid="{F583FF69-371F-4BC9-B94E-DE749206A820}" name="Total Votes by Candidate" dataDxfId="1312" totalsRowDxfId="1311"/>
  </tableColumns>
  <tableStyleInfo name="TableStyleMedium2" showFirstColumn="0" showLastColumn="0" showRowStripes="0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6" xr:uid="{97DFA6B6-054B-4B5C-96AF-CF426E7768F6}" name="GovByAssemblyDistrict62General" displayName="GovByAssemblyDistrict62General" ref="A2:D16" totalsRowCount="1" headerRowDxfId="1310" dataDxfId="1308" headerRowBorderDxfId="1309" tableBorderDxfId="1307" totalsRowBorderDxfId="1306">
  <autoFilter ref="A2:D15" xr:uid="{F56FF4DC-7AE0-47FA-BDC1-99A4C6785842}">
    <filterColumn colId="0" hiddenButton="1"/>
    <filterColumn colId="1" hiddenButton="1"/>
    <filterColumn colId="2" hiddenButton="1"/>
    <filterColumn colId="3" hiddenButton="1"/>
  </autoFilter>
  <tableColumns count="4">
    <tableColumn id="1" xr3:uid="{7D21C980-D3BD-4AA7-AC61-73125A6830B1}" name="Candidate Name (Party)" totalsRowLabel="Total Votes by County" dataDxfId="1305" totalsRowDxfId="1304"/>
    <tableColumn id="4" xr3:uid="{634991D1-0C31-4A34-9B26-0E7D0B4A94BF}" name="Part of Richmond County Vote Results" totalsRowFunction="custom" dataDxfId="1303" totalsRowDxfId="1302">
      <totalsRowFormula>SUBTOTAL(109,GovByAssemblyDistrict62General[Total Votes by Candidate])</totalsRowFormula>
    </tableColumn>
    <tableColumn id="3" xr3:uid="{2CB7BFC6-9547-42C1-933D-B9F8E9F2785C}" name="Total Votes by Party" dataDxfId="1301" totalsRowDxfId="1300">
      <calculatedColumnFormula>GovByAssemblyDistrict62General[[#This Row],[Part of Richmond County Vote Results]]</calculatedColumnFormula>
    </tableColumn>
    <tableColumn id="2" xr3:uid="{DA2D3FED-C2B5-4065-945E-38B9DC32DDC4}" name="Total Votes by Candidate" dataDxfId="1299" totalsRowDxfId="1298"/>
  </tableColumns>
  <tableStyleInfo name="TableStyleMedium2" showFirstColumn="0" showLastColumn="0" showRowStripes="0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7" xr:uid="{CA55D9D6-58C6-40F7-9EFE-8AF1266B0342}" name="GovByAssemblyDistrict63General" displayName="GovByAssemblyDistrict63General" ref="A2:D16" totalsRowCount="1" headerRowDxfId="1297" dataDxfId="1295" headerRowBorderDxfId="1296" tableBorderDxfId="1294" totalsRowBorderDxfId="1293">
  <autoFilter ref="A2:D15" xr:uid="{5DA8576E-0FE6-4180-A913-2F2C77C8D117}">
    <filterColumn colId="0" hiddenButton="1"/>
    <filterColumn colId="1" hiddenButton="1"/>
    <filterColumn colId="2" hiddenButton="1"/>
    <filterColumn colId="3" hiddenButton="1"/>
  </autoFilter>
  <tableColumns count="4">
    <tableColumn id="1" xr3:uid="{6342C9D8-7CDD-425C-8DBE-93B83D233E8A}" name="Candidate Name (Party)" totalsRowLabel="Total Votes by County" dataDxfId="1292" totalsRowDxfId="1291"/>
    <tableColumn id="4" xr3:uid="{17126FDC-FFE4-46C7-811D-51728EB6CF0E}" name="Part of Richmond County Vote Results" totalsRowFunction="custom" dataDxfId="1290" totalsRowDxfId="1289">
      <totalsRowFormula>SUBTOTAL(109,GovByAssemblyDistrict63General[Total Votes by Candidate])</totalsRowFormula>
    </tableColumn>
    <tableColumn id="3" xr3:uid="{513730AD-B3A8-4799-83EE-FC1114FF9F15}" name="Total Votes by Party" dataDxfId="1288" totalsRowDxfId="1287">
      <calculatedColumnFormula>GovByAssemblyDistrict63General[[#This Row],[Part of Richmond County Vote Results]]</calculatedColumnFormula>
    </tableColumn>
    <tableColumn id="2" xr3:uid="{C06CCEE3-9466-4C04-9245-CCDDEC013D97}" name="Total Votes by Candidate" dataDxfId="1286" totalsRowDxfId="1285"/>
  </tableColumns>
  <tableStyleInfo name="TableStyleMedium2" showFirstColumn="0" showLastColumn="0" showRowStripes="0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8" xr:uid="{7D423E08-C31F-4D64-92E7-1D8CE25CD57B}" name="GovByAssemblyDistrict64General" displayName="GovByAssemblyDistrict64General" ref="A2:E16" totalsRowCount="1" headerRowDxfId="1284" dataDxfId="1282" headerRowBorderDxfId="1283" tableBorderDxfId="1281" totalsRowBorderDxfId="1280">
  <autoFilter ref="A2:E15" xr:uid="{1397371C-730C-4929-A849-4BF4A5FCD263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D54AB32E-77B1-4DF3-B914-0FC764C076B4}" name="Candidate Name (Party)" totalsRowLabel="Total Votes by County" dataDxfId="1279" totalsRowDxfId="1278"/>
    <tableColumn id="2" xr3:uid="{BB0F5DAC-19F5-4879-A80B-DFCB31220FA8}" name="Part of Kings County Vote Results" totalsRowFunction="sum" dataDxfId="1277" totalsRowDxfId="1276"/>
    <tableColumn id="3" xr3:uid="{B2120C1C-74FE-4C3F-AD9D-3FBBC947EAC7}" name="Part of Richmond County Vote Results" totalsRowFunction="custom" dataDxfId="1275" totalsRowDxfId="1274">
      <totalsRowFormula>SUBTOTAL(109,GovByAssemblyDistrict64General[Total Votes by Party])</totalsRowFormula>
    </tableColumn>
    <tableColumn id="4" xr3:uid="{327656A5-9762-4CC5-92C6-3DFF85EA3822}" name="Total Votes by Party" dataDxfId="1273" totalsRowDxfId="1272">
      <calculatedColumnFormula>SUM(GovByAssemblyDistrict64General[[#This Row],[Part of Kings County Vote Results]:[Part of Richmond County Vote Results]])</calculatedColumnFormula>
    </tableColumn>
    <tableColumn id="5" xr3:uid="{38766EA7-9D2B-410C-BB8E-C3C96173D399}" name="Total Votes by Candidate" dataDxfId="1271" totalsRowDxfId="1270"/>
  </tableColumns>
  <tableStyleInfo name="TableStyleMedium2" showFirstColumn="0" showLastColumn="0" showRowStripes="0" showColumnStripes="0"/>
</table>
</file>

<file path=xl/tables/table6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9" xr:uid="{01AB3E97-1EB6-4E4E-8228-2CC24D06E0E0}" name="GovByAssemblyDistrict65General" displayName="GovByAssemblyDistrict65General" ref="A2:D16" totalsRowCount="1" headerRowDxfId="1269" dataDxfId="1267" headerRowBorderDxfId="1268" tableBorderDxfId="1266" totalsRowBorderDxfId="1265">
  <autoFilter ref="A2:D15" xr:uid="{78BCC269-E3ED-40CC-8342-FEE2AFA28DC9}">
    <filterColumn colId="0" hiddenButton="1"/>
    <filterColumn colId="1" hiddenButton="1"/>
    <filterColumn colId="2" hiddenButton="1"/>
    <filterColumn colId="3" hiddenButton="1"/>
  </autoFilter>
  <tableColumns count="4">
    <tableColumn id="1" xr3:uid="{ECA31616-9A1F-4213-8B29-289406AFEFC9}" name="Candidate Name (Party)" totalsRowLabel="Total Votes by County" dataDxfId="1264" totalsRowDxfId="1263"/>
    <tableColumn id="4" xr3:uid="{94B198CE-963F-4A97-9581-E747904B85D2}" name="Part of New York County Vote Results" totalsRowFunction="custom" dataDxfId="1262" totalsRowDxfId="1261">
      <totalsRowFormula>SUBTOTAL(109,GovByAssemblyDistrict65General[Total Votes by Candidate])</totalsRowFormula>
    </tableColumn>
    <tableColumn id="3" xr3:uid="{6D9F5952-A466-4DE1-9BF3-3CC18FFD97EC}" name="Total Votes by Party" dataDxfId="1260" totalsRowDxfId="1259">
      <calculatedColumnFormula>GovByAssemblyDistrict65General[[#This Row],[Part of New York County Vote Results]]</calculatedColumnFormula>
    </tableColumn>
    <tableColumn id="2" xr3:uid="{9B4D9BD0-32B4-4F5E-A474-A1C305631B83}" name="Total Votes by Candidate" dataDxfId="1258" totalsRowDxfId="1257"/>
  </tableColumns>
  <tableStyleInfo name="TableStyleMedium2" showFirstColumn="0" showLastColumn="0" showRowStripes="0" showColumnStripes="0"/>
</table>
</file>

<file path=xl/tables/table6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" xr:uid="{6AEEE241-F98C-497E-876B-177A29F3C85D}" name="GovByAssemblyDistrict66General" displayName="GovByAssemblyDistrict66General" ref="A2:D16" totalsRowCount="1" headerRowDxfId="1256" dataDxfId="1254" headerRowBorderDxfId="1255" tableBorderDxfId="1253" totalsRowBorderDxfId="1252">
  <autoFilter ref="A2:D15" xr:uid="{311EF700-2B90-48FB-9F30-3546F4F61334}">
    <filterColumn colId="0" hiddenButton="1"/>
    <filterColumn colId="1" hiddenButton="1"/>
    <filterColumn colId="2" hiddenButton="1"/>
    <filterColumn colId="3" hiddenButton="1"/>
  </autoFilter>
  <tableColumns count="4">
    <tableColumn id="1" xr3:uid="{59D290B2-E42B-4FF2-A753-CF48B2C90AFE}" name="Candidate Name (Party)" totalsRowLabel="Total Votes by County" dataDxfId="1251" totalsRowDxfId="1250"/>
    <tableColumn id="4" xr3:uid="{DB9F8AAF-EEC2-4BCA-B87B-7A24F9EE59DE}" name="Part of New York County Vote Results" totalsRowFunction="custom" dataDxfId="1249" totalsRowDxfId="1248">
      <totalsRowFormula>SUBTOTAL(109,GovByAssemblyDistrict66General[Total Votes by Candidate])</totalsRowFormula>
    </tableColumn>
    <tableColumn id="3" xr3:uid="{B776337F-3B8A-4C87-B789-AF61B4333400}" name="Total Votes by Party" dataDxfId="1247" totalsRowDxfId="1246">
      <calculatedColumnFormula>GovByAssemblyDistrict66General[[#This Row],[Part of New York County Vote Results]]</calculatedColumnFormula>
    </tableColumn>
    <tableColumn id="2" xr3:uid="{E068C2D2-2F96-4138-B1E6-445EB4FF7682}" name="Total Votes by Candidate" dataDxfId="1245" totalsRowDxfId="1244"/>
  </tableColumns>
  <tableStyleInfo name="TableStyleMedium2" showFirstColumn="0" showLastColumn="0" showRowStripes="0" showColumnStripes="0"/>
</table>
</file>

<file path=xl/tables/table6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1" xr:uid="{A6849051-2F4C-42C0-96E1-80448C1546D2}" name="GovByAssemblyDistrict67General" displayName="GovByAssemblyDistrict67General" ref="A2:D16" totalsRowCount="1" headerRowDxfId="1243" dataDxfId="1241" headerRowBorderDxfId="1242" tableBorderDxfId="1240" totalsRowBorderDxfId="1239">
  <autoFilter ref="A2:D15" xr:uid="{03E62467-9D6A-4FDF-8506-2616B44445A6}">
    <filterColumn colId="0" hiddenButton="1"/>
    <filterColumn colId="1" hiddenButton="1"/>
    <filterColumn colId="2" hiddenButton="1"/>
    <filterColumn colId="3" hiddenButton="1"/>
  </autoFilter>
  <tableColumns count="4">
    <tableColumn id="1" xr3:uid="{78074B2A-2FA6-4C52-B6AF-BE02FAA07A54}" name="Candidate Name (Party)" totalsRowLabel="Total Votes by County" dataDxfId="1238" totalsRowDxfId="1237"/>
    <tableColumn id="4" xr3:uid="{164D8307-9937-4500-9E91-47ED71FA5418}" name="Part of New York County Vote Results" totalsRowFunction="custom" dataDxfId="1236" totalsRowDxfId="1235">
      <totalsRowFormula>SUBTOTAL(109,GovByAssemblyDistrict67General[Total Votes by Candidate])</totalsRowFormula>
    </tableColumn>
    <tableColumn id="3" xr3:uid="{0C7C83DB-276B-4A80-86F5-1B69D5CD66DE}" name="Total Votes by Party" dataDxfId="1234" totalsRowDxfId="1233">
      <calculatedColumnFormula>GovByAssemblyDistrict67General[[#This Row],[Part of New York County Vote Results]]</calculatedColumnFormula>
    </tableColumn>
    <tableColumn id="2" xr3:uid="{CF2A912A-61CA-4EE1-B1C1-49763A3D3CEA}" name="Total Votes by Candidate" dataDxfId="1232" totalsRowDxfId="1231"/>
  </tableColumns>
  <tableStyleInfo name="TableStyleMedium2" showFirstColumn="0" showLastColumn="0" showRowStripes="0" showColumnStripes="0"/>
</table>
</file>

<file path=xl/tables/table6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2" xr:uid="{519228DE-28E8-416C-8E1C-349CBDB8DD05}" name="GovByAssemblyDistrict68General" displayName="GovByAssemblyDistrict68General" ref="A2:D16" totalsRowCount="1" headerRowDxfId="1230" dataDxfId="1228" headerRowBorderDxfId="1229" tableBorderDxfId="1227" totalsRowBorderDxfId="1226">
  <autoFilter ref="A2:D15" xr:uid="{C8FAB9D6-AE84-4311-9BA0-B67622E16629}">
    <filterColumn colId="0" hiddenButton="1"/>
    <filterColumn colId="1" hiddenButton="1"/>
    <filterColumn colId="2" hiddenButton="1"/>
    <filterColumn colId="3" hiddenButton="1"/>
  </autoFilter>
  <tableColumns count="4">
    <tableColumn id="1" xr3:uid="{5E87B530-7493-43C8-AF8C-50D2FDD2B555}" name="Candidate Name (Party)" totalsRowLabel="Total Votes by County" dataDxfId="1225" totalsRowDxfId="1224"/>
    <tableColumn id="4" xr3:uid="{2DCCE547-D3EE-41A3-B3A7-379F94D6B99B}" name="Part of New York County Vote Results" totalsRowFunction="custom" dataDxfId="1223" totalsRowDxfId="1222">
      <totalsRowFormula>SUBTOTAL(109,GovByAssemblyDistrict68General[Total Votes by Candidate])</totalsRowFormula>
    </tableColumn>
    <tableColumn id="3" xr3:uid="{24FE580F-D809-4881-9040-DFEA7487F4BA}" name="Total Votes by Party" dataDxfId="1221" totalsRowDxfId="1220">
      <calculatedColumnFormula>GovByAssemblyDistrict68General[[#This Row],[Part of New York County Vote Results]]</calculatedColumnFormula>
    </tableColumn>
    <tableColumn id="2" xr3:uid="{BC04BC9E-69FE-42A5-AF72-C9496F797361}" name="Total Votes by Candidate" dataDxfId="1219" totalsRowDxfId="1218"/>
  </tableColumns>
  <tableStyleInfo name="TableStyleMedium2" showFirstColumn="0" showLastColumn="0" showRowStripes="0" showColumnStripes="0"/>
</table>
</file>

<file path=xl/tables/table6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3" xr:uid="{B37ED194-6FBF-4750-BE3F-B5F78123B6A8}" name="GovByAssemblyDistrict69General" displayName="GovByAssemblyDistrict69General" ref="A2:D16" totalsRowCount="1" headerRowDxfId="1217" dataDxfId="1215" headerRowBorderDxfId="1216" tableBorderDxfId="1214" totalsRowBorderDxfId="1213">
  <autoFilter ref="A2:D15" xr:uid="{6E01DAC7-941C-4979-AC33-596A3863DF8C}">
    <filterColumn colId="0" hiddenButton="1"/>
    <filterColumn colId="1" hiddenButton="1"/>
    <filterColumn colId="2" hiddenButton="1"/>
    <filterColumn colId="3" hiddenButton="1"/>
  </autoFilter>
  <tableColumns count="4">
    <tableColumn id="1" xr3:uid="{D97D5880-ABE0-41D7-92EC-6E68F31A0A3A}" name="Candidate Name (Party)" totalsRowLabel="Total Votes by County" dataDxfId="1212" totalsRowDxfId="1211"/>
    <tableColumn id="4" xr3:uid="{16AC8012-B7BA-48B1-BFBD-951F1AA97022}" name="Part of New York County Vote Results" totalsRowFunction="custom" dataDxfId="1210" totalsRowDxfId="1209">
      <totalsRowFormula>SUBTOTAL(109,GovByAssemblyDistrict69General[Total Votes by Candidate])</totalsRowFormula>
    </tableColumn>
    <tableColumn id="3" xr3:uid="{5ED6AA38-CE62-4CEF-A7D1-182E0D8A40C3}" name="Total Votes by Party" dataDxfId="1208" totalsRowDxfId="1207">
      <calculatedColumnFormula>GovByAssemblyDistrict69General[[#This Row],[Part of New York County Vote Results]]</calculatedColumnFormula>
    </tableColumn>
    <tableColumn id="2" xr3:uid="{B2A0CD58-D907-4FD6-B7C6-DC739B9A88FA}" name="Total Votes by Candidate" dataDxfId="1206" totalsRowDxfId="1205"/>
  </tableColumns>
  <tableStyleInfo name="TableStyleMedium2" showFirstColumn="0" showLastColumn="0" showRowStripes="0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BBB098A-1FC4-4F55-B7D7-607BCCCEAE6D}" name="GovByAssemblyDistrict7General" displayName="GovByAssemblyDistrict7General" ref="A2:D16" totalsRowCount="1" headerRowDxfId="2027" dataDxfId="2025" headerRowBorderDxfId="2026" tableBorderDxfId="2024" totalsRowBorderDxfId="2023">
  <autoFilter ref="A2:D15" xr:uid="{7125DDA1-A787-4845-9EAA-9D93B68FCD14}">
    <filterColumn colId="0" hiddenButton="1"/>
    <filterColumn colId="1" hiddenButton="1"/>
    <filterColumn colId="2" hiddenButton="1"/>
    <filterColumn colId="3" hiddenButton="1"/>
  </autoFilter>
  <tableColumns count="4">
    <tableColumn id="1" xr3:uid="{87F05B62-D6C6-48FB-84C1-3ACAC8C2AA6D}" name="Candidate Name (Party)" totalsRowLabel="Total Votes by County" dataDxfId="2022" totalsRowDxfId="2021"/>
    <tableColumn id="4" xr3:uid="{B220268C-B2BE-4688-9A8C-B06FA40FF916}" name="Part of Suffolk County Vote Results" totalsRowFunction="custom" dataDxfId="2020" totalsRowDxfId="2019">
      <totalsRowFormula>SUBTOTAL(109,GovByAssemblyDistrict7General[Total Votes by Candidate])</totalsRowFormula>
    </tableColumn>
    <tableColumn id="3" xr3:uid="{A18A7199-9080-4FA9-A27E-5A084CEE1F62}" name="Total Votes by Party" dataDxfId="2018" totalsRowDxfId="2017">
      <calculatedColumnFormula>GovByAssemblyDistrict7General[[#This Row],[Part of Suffolk County Vote Results]]</calculatedColumnFormula>
    </tableColumn>
    <tableColumn id="2" xr3:uid="{B5369D4D-DC9D-4D06-B297-F60821791060}" name="Total Votes by Candidate" dataDxfId="2016" totalsRowDxfId="2015"/>
  </tableColumns>
  <tableStyleInfo name="TableStyleMedium2" showFirstColumn="0" showLastColumn="0" showRowStripes="0" showColumnStripes="0"/>
</table>
</file>

<file path=xl/tables/table7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4" xr:uid="{DB1964DD-F185-443D-BEAF-528DAF360B86}" name="GovByAssemblyDistrict70General" displayName="GovByAssemblyDistrict70General" ref="A2:D16" totalsRowCount="1" headerRowDxfId="1204" dataDxfId="1202" headerRowBorderDxfId="1203" tableBorderDxfId="1201" totalsRowBorderDxfId="1200">
  <autoFilter ref="A2:D15" xr:uid="{43B08042-4661-4F63-B018-D4954BB7781B}">
    <filterColumn colId="0" hiddenButton="1"/>
    <filterColumn colId="1" hiddenButton="1"/>
    <filterColumn colId="2" hiddenButton="1"/>
    <filterColumn colId="3" hiddenButton="1"/>
  </autoFilter>
  <tableColumns count="4">
    <tableColumn id="1" xr3:uid="{F96EF008-AD46-42C3-92BF-146AFF2BEBA4}" name="Candidate Name (Party)" totalsRowLabel="Total Votes by County" dataDxfId="1199" totalsRowDxfId="1198"/>
    <tableColumn id="4" xr3:uid="{4F65D721-DE3E-4B10-8833-9EC664C4029A}" name="Part of New York County Vote Results" totalsRowFunction="custom" dataDxfId="1197" totalsRowDxfId="1196">
      <totalsRowFormula>SUBTOTAL(109,GovByAssemblyDistrict70General[Total Votes by Candidate])</totalsRowFormula>
    </tableColumn>
    <tableColumn id="3" xr3:uid="{796F7322-3560-4065-8D72-38EF2D3CA109}" name="Total Votes by Party" dataDxfId="1195" totalsRowDxfId="1194">
      <calculatedColumnFormula>GovByAssemblyDistrict70General[[#This Row],[Part of New York County Vote Results]]</calculatedColumnFormula>
    </tableColumn>
    <tableColumn id="2" xr3:uid="{E30791ED-2A7D-4CBC-B84B-AEE2F08F4906}" name="Total Votes by Candidate" dataDxfId="1193" totalsRowDxfId="1192"/>
  </tableColumns>
  <tableStyleInfo name="TableStyleMedium2" showFirstColumn="0" showLastColumn="0" showRowStripes="0" showColumnStripes="0"/>
</table>
</file>

<file path=xl/tables/table7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5" xr:uid="{86CE361E-38A6-4B64-9B74-C393CC24C1C6}" name="GovByAssemblyDistrict71General" displayName="GovByAssemblyDistrict71General" ref="A2:D16" totalsRowCount="1" headerRowDxfId="1191" dataDxfId="1189" headerRowBorderDxfId="1190" tableBorderDxfId="1188" totalsRowBorderDxfId="1187">
  <autoFilter ref="A2:D15" xr:uid="{E702BC44-9A02-4634-817B-F246DFFD6AC9}">
    <filterColumn colId="0" hiddenButton="1"/>
    <filterColumn colId="1" hiddenButton="1"/>
    <filterColumn colId="2" hiddenButton="1"/>
    <filterColumn colId="3" hiddenButton="1"/>
  </autoFilter>
  <tableColumns count="4">
    <tableColumn id="1" xr3:uid="{86FC3090-E123-457E-952C-F9D014894FEA}" name="Candidate Name (Party)" totalsRowLabel="Total Votes by County" dataDxfId="1186" totalsRowDxfId="1185"/>
    <tableColumn id="4" xr3:uid="{4E9589DF-10EB-44B0-AFD5-0ED145C5FEBC}" name="Part of New York County Vote Results" totalsRowFunction="custom" dataDxfId="1184" totalsRowDxfId="1183">
      <totalsRowFormula>SUBTOTAL(109,GovByAssemblyDistrict71General[Total Votes by Candidate])</totalsRowFormula>
    </tableColumn>
    <tableColumn id="3" xr3:uid="{8DB88F78-2372-4C55-A55E-EE045B133A04}" name="Total Votes by Party" dataDxfId="1182" totalsRowDxfId="1181">
      <calculatedColumnFormula>GovByAssemblyDistrict71General[[#This Row],[Part of New York County Vote Results]]</calculatedColumnFormula>
    </tableColumn>
    <tableColumn id="2" xr3:uid="{CAAF2141-A7E0-45BC-9F2B-71ECF79BAE6F}" name="Total Votes by Candidate" dataDxfId="1180" totalsRowDxfId="1179"/>
  </tableColumns>
  <tableStyleInfo name="TableStyleMedium2" showFirstColumn="0" showLastColumn="0" showRowStripes="0" showColumnStripes="0"/>
</table>
</file>

<file path=xl/tables/table7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6" xr:uid="{7FD5FF15-414D-4427-8A78-37649B2AE024}" name="GovByAssemblyDistrict72General" displayName="GovByAssemblyDistrict72General" ref="A2:D16" totalsRowCount="1" headerRowDxfId="1178" dataDxfId="1176" headerRowBorderDxfId="1177" tableBorderDxfId="1175" totalsRowBorderDxfId="1174">
  <autoFilter ref="A2:D15" xr:uid="{618608B9-7B7E-47E5-8397-301083B7E64E}">
    <filterColumn colId="0" hiddenButton="1"/>
    <filterColumn colId="1" hiddenButton="1"/>
    <filterColumn colId="2" hiddenButton="1"/>
    <filterColumn colId="3" hiddenButton="1"/>
  </autoFilter>
  <tableColumns count="4">
    <tableColumn id="1" xr3:uid="{F90B5D20-D8E6-4213-89AF-C5F63D71FD07}" name="Candidate Name (Party)" totalsRowLabel="Total Votes by County" dataDxfId="1173" totalsRowDxfId="1172"/>
    <tableColumn id="4" xr3:uid="{B6C6B98B-0515-4F90-A7F3-3E4461616F4C}" name="Part of New York County Vote Results" totalsRowFunction="custom" dataDxfId="1171" totalsRowDxfId="1170">
      <totalsRowFormula>SUBTOTAL(109,GovByAssemblyDistrict72General[Total Votes by Candidate])</totalsRowFormula>
    </tableColumn>
    <tableColumn id="3" xr3:uid="{4F68D732-F45E-4E49-9C58-76D0FCA16C57}" name="Total Votes by Party" dataDxfId="1169" totalsRowDxfId="1168">
      <calculatedColumnFormula>GovByAssemblyDistrict72General[[#This Row],[Part of New York County Vote Results]]</calculatedColumnFormula>
    </tableColumn>
    <tableColumn id="2" xr3:uid="{57714AB4-7628-4920-8A0F-E9E7FF4486A6}" name="Total Votes by Candidate" dataDxfId="1167" totalsRowDxfId="1166"/>
  </tableColumns>
  <tableStyleInfo name="TableStyleMedium2" showFirstColumn="0" showLastColumn="0" showRowStripes="0" showColumnStripes="0"/>
</table>
</file>

<file path=xl/tables/table7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7" xr:uid="{A0E4AE32-1E07-45F2-8513-1464B0118FDE}" name="GovByAssemblyDistrict73General" displayName="GovByAssemblyDistrict73General" ref="A2:D16" totalsRowCount="1" headerRowDxfId="1165" dataDxfId="1163" headerRowBorderDxfId="1164" tableBorderDxfId="1162" totalsRowBorderDxfId="1161">
  <autoFilter ref="A2:D15" xr:uid="{598C1BD1-8858-45DD-A074-6584CD9A202C}">
    <filterColumn colId="0" hiddenButton="1"/>
    <filterColumn colId="1" hiddenButton="1"/>
    <filterColumn colId="2" hiddenButton="1"/>
    <filterColumn colId="3" hiddenButton="1"/>
  </autoFilter>
  <tableColumns count="4">
    <tableColumn id="1" xr3:uid="{DCB877C2-C4EF-40B1-9A60-705105C5EAE4}" name="Candidate Name (Party)" totalsRowLabel="Total Votes by County" dataDxfId="1160" totalsRowDxfId="1159"/>
    <tableColumn id="4" xr3:uid="{AC384B4B-6DF6-4A44-8450-1409521F7E42}" name="Part of New York County Vote Results" totalsRowFunction="custom" dataDxfId="1158" totalsRowDxfId="1157">
      <totalsRowFormula>SUBTOTAL(109,GovByAssemblyDistrict73General[Total Votes by Candidate])</totalsRowFormula>
    </tableColumn>
    <tableColumn id="3" xr3:uid="{3E3BF4D2-98A1-44AC-8C5B-87EF92F69207}" name="Total Votes by Party" dataDxfId="1156" totalsRowDxfId="1155">
      <calculatedColumnFormula>GovByAssemblyDistrict73General[[#This Row],[Part of New York County Vote Results]]</calculatedColumnFormula>
    </tableColumn>
    <tableColumn id="2" xr3:uid="{64EA6458-8E57-4143-95CB-1D00FB2D6597}" name="Total Votes by Candidate" dataDxfId="1154" totalsRowDxfId="1153"/>
  </tableColumns>
  <tableStyleInfo name="TableStyleMedium2" showFirstColumn="0" showLastColumn="0" showRowStripes="0" showColumnStripes="0"/>
</table>
</file>

<file path=xl/tables/table7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8" xr:uid="{9E992E4B-9759-4701-A2C4-EEC873BA585E}" name="GovByAssemblyDistrict74General" displayName="GovByAssemblyDistrict74General" ref="A2:D16" totalsRowCount="1" headerRowDxfId="1152" dataDxfId="1150" headerRowBorderDxfId="1151" tableBorderDxfId="1149" totalsRowBorderDxfId="1148">
  <autoFilter ref="A2:D15" xr:uid="{F1AD7634-8A66-4D5C-AA30-502747759470}">
    <filterColumn colId="0" hiddenButton="1"/>
    <filterColumn colId="1" hiddenButton="1"/>
    <filterColumn colId="2" hiddenButton="1"/>
    <filterColumn colId="3" hiddenButton="1"/>
  </autoFilter>
  <tableColumns count="4">
    <tableColumn id="1" xr3:uid="{98EB3838-5E4E-46EE-B757-2877ED456452}" name="Candidate Name (Party)" totalsRowLabel="Total Votes by County" dataDxfId="1147" totalsRowDxfId="1146"/>
    <tableColumn id="4" xr3:uid="{B15ED2CF-11B8-46C8-AE5B-114019F77EFD}" name="Part of New York County Vote Results" totalsRowFunction="custom" dataDxfId="1145" totalsRowDxfId="1144">
      <totalsRowFormula>SUBTOTAL(109,GovByAssemblyDistrict74General[Total Votes by Candidate])</totalsRowFormula>
    </tableColumn>
    <tableColumn id="3" xr3:uid="{459D2240-FF56-4585-8C54-EF1FE319412A}" name="Total Votes by Party" dataDxfId="1143" totalsRowDxfId="1142">
      <calculatedColumnFormula>GovByAssemblyDistrict74General[[#This Row],[Part of New York County Vote Results]]</calculatedColumnFormula>
    </tableColumn>
    <tableColumn id="2" xr3:uid="{39C9E551-CFC4-439A-B7B3-485CAD73D876}" name="Total Votes by Candidate" dataDxfId="1141" totalsRowDxfId="1140"/>
  </tableColumns>
  <tableStyleInfo name="TableStyleMedium2" showFirstColumn="0" showLastColumn="0" showRowStripes="0" showColumnStripes="0"/>
</table>
</file>

<file path=xl/tables/table7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9" xr:uid="{226A4149-5642-4D2E-BE5E-65EB1D837787}" name="GovByAssemblyDistrict75General" displayName="GovByAssemblyDistrict75General" ref="A2:D16" totalsRowCount="1" headerRowDxfId="1139" dataDxfId="1137" headerRowBorderDxfId="1138" tableBorderDxfId="1136" totalsRowBorderDxfId="1135">
  <autoFilter ref="A2:D15" xr:uid="{638AF63C-CBF5-4F9F-AD22-1DB925396E91}">
    <filterColumn colId="0" hiddenButton="1"/>
    <filterColumn colId="1" hiddenButton="1"/>
    <filterColumn colId="2" hiddenButton="1"/>
    <filterColumn colId="3" hiddenButton="1"/>
  </autoFilter>
  <tableColumns count="4">
    <tableColumn id="1" xr3:uid="{F7860174-5626-4867-BFFC-211B48F7F150}" name="Candidate Name (Party)" totalsRowLabel="Total Votes by County" dataDxfId="1134" totalsRowDxfId="1133"/>
    <tableColumn id="4" xr3:uid="{B6DA627A-2478-4366-B12C-C81CDDD49DB6}" name="Part of New York County Vote Results" totalsRowFunction="custom" dataDxfId="1132" totalsRowDxfId="1131">
      <totalsRowFormula>SUBTOTAL(109,GovByAssemblyDistrict75General[Total Votes by Candidate])</totalsRowFormula>
    </tableColumn>
    <tableColumn id="3" xr3:uid="{8DC7195F-5E40-467B-B7B8-06952EB5A32D}" name="Total Votes by Party" dataDxfId="1130" totalsRowDxfId="1129">
      <calculatedColumnFormula>GovByAssemblyDistrict75General[[#This Row],[Part of New York County Vote Results]]</calculatedColumnFormula>
    </tableColumn>
    <tableColumn id="2" xr3:uid="{DABA4A33-6307-4C6C-9BCD-1BDF433ECF55}" name="Total Votes by Candidate" dataDxfId="1128" totalsRowDxfId="1127"/>
  </tableColumns>
  <tableStyleInfo name="TableStyleMedium2" showFirstColumn="0" showLastColumn="0" showRowStripes="0" showColumnStripes="0"/>
</table>
</file>

<file path=xl/tables/table7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0" xr:uid="{66ADE5FF-4EE8-4CDA-9B4C-5AB5DC67F965}" name="GovByAssemblyDistrict76General" displayName="GovByAssemblyDistrict76General" ref="A2:D16" totalsRowCount="1" headerRowDxfId="1126" dataDxfId="1124" headerRowBorderDxfId="1125" tableBorderDxfId="1123" totalsRowBorderDxfId="1122">
  <autoFilter ref="A2:D15" xr:uid="{473FA3DB-8943-496C-AB01-C3A6D9B05897}">
    <filterColumn colId="0" hiddenButton="1"/>
    <filterColumn colId="1" hiddenButton="1"/>
    <filterColumn colId="2" hiddenButton="1"/>
    <filterColumn colId="3" hiddenButton="1"/>
  </autoFilter>
  <tableColumns count="4">
    <tableColumn id="1" xr3:uid="{D6734946-1AD3-4469-8D52-22DF7C932EBC}" name="Candidate Name (Party)" totalsRowLabel="Total Votes by County" dataDxfId="1121" totalsRowDxfId="1120"/>
    <tableColumn id="4" xr3:uid="{174D7F02-D0DF-4A81-90B6-7384AA28EA1A}" name="Part of New York County Vote Results" totalsRowFunction="custom" dataDxfId="1119" totalsRowDxfId="1118">
      <totalsRowFormula>SUBTOTAL(109,GovByAssemblyDistrict76General[Total Votes by Candidate])</totalsRowFormula>
    </tableColumn>
    <tableColumn id="3" xr3:uid="{623DECCB-04CF-4692-AA19-8BEAC157F09B}" name="Total Votes by Party" dataDxfId="1117" totalsRowDxfId="1116">
      <calculatedColumnFormula>GovByAssemblyDistrict76General[[#This Row],[Part of New York County Vote Results]]</calculatedColumnFormula>
    </tableColumn>
    <tableColumn id="2" xr3:uid="{4B23B40A-05D2-414A-9A53-6DC8012843C2}" name="Total Votes by Candidate" dataDxfId="1115" totalsRowDxfId="1114"/>
  </tableColumns>
  <tableStyleInfo name="TableStyleMedium2" showFirstColumn="0" showLastColumn="0" showRowStripes="0" showColumnStripes="0"/>
</table>
</file>

<file path=xl/tables/table7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1" xr:uid="{3F2F7D05-E681-46B8-9DEF-14104FFE1C6A}" name="GovByAssemblyDistrict77General" displayName="GovByAssemblyDistrict77General" ref="A2:D16" totalsRowCount="1" headerRowDxfId="1113" dataDxfId="1111" headerRowBorderDxfId="1112" tableBorderDxfId="1110" totalsRowBorderDxfId="1109">
  <autoFilter ref="A2:D15" xr:uid="{306FC350-EF8B-4C0A-8E37-F4F707A3FBB3}">
    <filterColumn colId="0" hiddenButton="1"/>
    <filterColumn colId="1" hiddenButton="1"/>
    <filterColumn colId="2" hiddenButton="1"/>
    <filterColumn colId="3" hiddenButton="1"/>
  </autoFilter>
  <tableColumns count="4">
    <tableColumn id="1" xr3:uid="{69908A55-E174-4C37-93DB-ED5166FDC70F}" name="Candidate Name (Party)" totalsRowLabel="Total Votes by County" dataDxfId="1108" totalsRowDxfId="1107"/>
    <tableColumn id="4" xr3:uid="{46420DD3-76F5-4783-ADB8-07CB3D14B886}" name="Part of Bronx County Vote Results" totalsRowFunction="custom" dataDxfId="1106" totalsRowDxfId="1105">
      <totalsRowFormula>SUBTOTAL(109,GovByAssemblyDistrict77General[Total Votes by Candidate])</totalsRowFormula>
    </tableColumn>
    <tableColumn id="3" xr3:uid="{8117C7A7-5BB6-46D6-852C-7F94601081F8}" name="Total Votes by Party" dataDxfId="1104" totalsRowDxfId="1103">
      <calculatedColumnFormula>GovByAssemblyDistrict77General[[#This Row],[Part of Bronx County Vote Results]]</calculatedColumnFormula>
    </tableColumn>
    <tableColumn id="2" xr3:uid="{E7F77923-9A6A-4B59-B3FE-F989E0589269}" name="Total Votes by Candidate" dataDxfId="1102" totalsRowDxfId="1101"/>
  </tableColumns>
  <tableStyleInfo name="TableStyleMedium2" showFirstColumn="0" showLastColumn="0" showRowStripes="0" showColumnStripes="0"/>
</table>
</file>

<file path=xl/tables/table7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2" xr:uid="{D821AF81-6F8F-4322-B72B-D68DF890C7FA}" name="GovByAssemblyDistrict78General" displayName="GovByAssemblyDistrict78General" ref="A2:D16" totalsRowCount="1" headerRowDxfId="1100" dataDxfId="1098" headerRowBorderDxfId="1099" tableBorderDxfId="1097" totalsRowBorderDxfId="1096">
  <autoFilter ref="A2:D15" xr:uid="{1B2E2DEA-1902-4F9E-8AD5-A96765DB128B}">
    <filterColumn colId="0" hiddenButton="1"/>
    <filterColumn colId="1" hiddenButton="1"/>
    <filterColumn colId="2" hiddenButton="1"/>
    <filterColumn colId="3" hiddenButton="1"/>
  </autoFilter>
  <tableColumns count="4">
    <tableColumn id="1" xr3:uid="{D3EC606B-8BBF-4565-90F1-25D05785EDC2}" name="Candidate Name (Party)" totalsRowLabel="Total Votes by County" dataDxfId="1095" totalsRowDxfId="1094"/>
    <tableColumn id="4" xr3:uid="{0E7EC873-0DF0-4E5E-868A-F09CCCABB241}" name="Part of Bronx County Vote Results" totalsRowFunction="custom" dataDxfId="1093" totalsRowDxfId="1092">
      <totalsRowFormula>SUBTOTAL(109,GovByAssemblyDistrict78General[Total Votes by Candidate])</totalsRowFormula>
    </tableColumn>
    <tableColumn id="3" xr3:uid="{BCF462C2-2C5F-473B-BE7D-5206C9325707}" name="Total Votes by Party" dataDxfId="1091" totalsRowDxfId="1090">
      <calculatedColumnFormula>GovByAssemblyDistrict78General[[#This Row],[Part of Bronx County Vote Results]]</calculatedColumnFormula>
    </tableColumn>
    <tableColumn id="2" xr3:uid="{05936A57-65DD-4F76-8DED-25565BA17EA1}" name="Total Votes by Candidate" dataDxfId="1089" totalsRowDxfId="1088"/>
  </tableColumns>
  <tableStyleInfo name="TableStyleMedium2" showFirstColumn="0" showLastColumn="0" showRowStripes="0" showColumnStripes="0"/>
</table>
</file>

<file path=xl/tables/table7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3" xr:uid="{6E564441-71A7-4500-825D-7D59DCCD21A0}" name="GovByAssemblyDistrict79General" displayName="GovByAssemblyDistrict79General" ref="A2:D16" totalsRowCount="1" headerRowDxfId="1087" dataDxfId="1085" headerRowBorderDxfId="1086" tableBorderDxfId="1084" totalsRowBorderDxfId="1083">
  <autoFilter ref="A2:D15" xr:uid="{9973BDE5-FCF4-425F-AC90-57DCD1F36996}">
    <filterColumn colId="0" hiddenButton="1"/>
    <filterColumn colId="1" hiddenButton="1"/>
    <filterColumn colId="2" hiddenButton="1"/>
    <filterColumn colId="3" hiddenButton="1"/>
  </autoFilter>
  <tableColumns count="4">
    <tableColumn id="1" xr3:uid="{E5951FE8-E0D4-4AA0-8012-0A0BACD66FF2}" name="Candidate Name (Party)" totalsRowLabel="Total Votes by County" dataDxfId="1082" totalsRowDxfId="1081"/>
    <tableColumn id="4" xr3:uid="{0E4328D0-177A-48B6-BBD6-448DD27D3D10}" name="Part of Bronx County Vote Results" totalsRowFunction="custom" dataDxfId="1080" totalsRowDxfId="1079">
      <totalsRowFormula>SUBTOTAL(109,GovByAssemblyDistrict79General[Total Votes by Candidate])</totalsRowFormula>
    </tableColumn>
    <tableColumn id="3" xr3:uid="{96782916-7B07-4444-AEAA-AFAD647E313A}" name="Total Votes by Party" dataDxfId="1078" totalsRowDxfId="1077">
      <calculatedColumnFormula>GovByAssemblyDistrict79General[[#This Row],[Part of Bronx County Vote Results]]</calculatedColumnFormula>
    </tableColumn>
    <tableColumn id="2" xr3:uid="{A5E8522A-42FB-4A9C-A433-84FD5AAE3B2C}" name="Total Votes by Candidate" dataDxfId="1076" totalsRowDxfId="1075"/>
  </tableColumns>
  <tableStyleInfo name="TableStyleMedium2" showFirstColumn="0" showLastColumn="0" showRowStripes="0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D7434327-451A-458E-BB9E-C70503BA2803}" name="GovByAssemblyDistrict8General" displayName="GovByAssemblyDistrict8General" ref="A2:D16" totalsRowCount="1" headerRowDxfId="2014" dataDxfId="2012" headerRowBorderDxfId="2013" tableBorderDxfId="2011" totalsRowBorderDxfId="2010">
  <autoFilter ref="A2:D15" xr:uid="{D9C2D294-A487-48DF-948B-D1C5E56B9D7D}">
    <filterColumn colId="0" hiddenButton="1"/>
    <filterColumn colId="1" hiddenButton="1"/>
    <filterColumn colId="2" hiddenButton="1"/>
    <filterColumn colId="3" hiddenButton="1"/>
  </autoFilter>
  <tableColumns count="4">
    <tableColumn id="1" xr3:uid="{A9B6A4E2-C592-4EB7-84C9-B9CD66E082D9}" name="Candidate Name (Party)" totalsRowLabel="Total Votes by County" dataDxfId="2009" totalsRowDxfId="2008"/>
    <tableColumn id="4" xr3:uid="{317891B2-6D65-440A-9D42-0E61DC6099C9}" name="Part of Suffolk County Vote Results" totalsRowFunction="custom" dataDxfId="2007" totalsRowDxfId="2006">
      <totalsRowFormula>SUBTOTAL(109,GovByAssemblyDistrict8General[Total Votes by Candidate])</totalsRowFormula>
    </tableColumn>
    <tableColumn id="3" xr3:uid="{D79E6918-EEA8-445B-99E3-AF20BEC52C88}" name="Total Votes by Party" dataDxfId="2005" totalsRowDxfId="2004">
      <calculatedColumnFormula>GovByAssemblyDistrict8General[[#This Row],[Part of Suffolk County Vote Results]]</calculatedColumnFormula>
    </tableColumn>
    <tableColumn id="2" xr3:uid="{3B40A8EF-089D-4C19-9FB8-FB640758D8CA}" name="Total Votes by Candidate" dataDxfId="2003" totalsRowDxfId="2002"/>
  </tableColumns>
  <tableStyleInfo name="TableStyleMedium2" showFirstColumn="0" showLastColumn="0" showRowStripes="0" showColumnStripes="0"/>
</table>
</file>

<file path=xl/tables/table8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4" xr:uid="{A5B318C3-E66A-40BC-8C9A-058A0C8586FD}" name="GovByAssemblyDistrict80General" displayName="GovByAssemblyDistrict80General" ref="A2:D16" totalsRowCount="1" headerRowDxfId="1074" dataDxfId="1072" headerRowBorderDxfId="1073" tableBorderDxfId="1071" totalsRowBorderDxfId="1070">
  <autoFilter ref="A2:D15" xr:uid="{8690449F-3D86-4E19-8E2C-7DDFA9A0538B}">
    <filterColumn colId="0" hiddenButton="1"/>
    <filterColumn colId="1" hiddenButton="1"/>
    <filterColumn colId="2" hiddenButton="1"/>
    <filterColumn colId="3" hiddenButton="1"/>
  </autoFilter>
  <tableColumns count="4">
    <tableColumn id="1" xr3:uid="{FEBD2A0C-95E2-486B-A032-F2040C634EE1}" name="Candidate Name (Party)" totalsRowLabel="Total Votes by County" dataDxfId="1069" totalsRowDxfId="1068"/>
    <tableColumn id="4" xr3:uid="{58162683-4F24-482B-8F04-C37E31A848AA}" name="Part of Bronx County Vote Results" totalsRowFunction="custom" dataDxfId="1067" totalsRowDxfId="1066">
      <totalsRowFormula>SUBTOTAL(109,GovByAssemblyDistrict80General[Total Votes by Candidate])</totalsRowFormula>
    </tableColumn>
    <tableColumn id="3" xr3:uid="{E12B72E3-FF52-4A29-9B76-6141E023A6AB}" name="Total Votes by Party" dataDxfId="1065" totalsRowDxfId="1064">
      <calculatedColumnFormula>GovByAssemblyDistrict80General[[#This Row],[Part of Bronx County Vote Results]]</calculatedColumnFormula>
    </tableColumn>
    <tableColumn id="2" xr3:uid="{F77CDBC3-3AF4-4A84-8E63-F1B4DBA642DB}" name="Total Votes by Candidate" dataDxfId="1063" totalsRowDxfId="1062"/>
  </tableColumns>
  <tableStyleInfo name="TableStyleMedium2" showFirstColumn="0" showLastColumn="0" showRowStripes="0" showColumnStripes="0"/>
</table>
</file>

<file path=xl/tables/table8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5" xr:uid="{58BE5E36-9D69-4CBC-8935-58B9965D0E16}" name="GovByAssemblyDistrict81General" displayName="GovByAssemblyDistrict81General" ref="A2:D16" totalsRowCount="1" headerRowDxfId="1061" dataDxfId="1059" headerRowBorderDxfId="1060" tableBorderDxfId="1058" totalsRowBorderDxfId="1057">
  <autoFilter ref="A2:D15" xr:uid="{D069F900-473C-4D12-ACEF-519DDF1FC6E8}">
    <filterColumn colId="0" hiddenButton="1"/>
    <filterColumn colId="1" hiddenButton="1"/>
    <filterColumn colId="2" hiddenButton="1"/>
    <filterColumn colId="3" hiddenButton="1"/>
  </autoFilter>
  <tableColumns count="4">
    <tableColumn id="1" xr3:uid="{A816BE3C-7F0C-48B7-9C60-A57455687569}" name="Candidate Name (Party)" totalsRowLabel="Total Votes by County" dataDxfId="1056" totalsRowDxfId="1055"/>
    <tableColumn id="4" xr3:uid="{C1D8092A-B462-443F-97B0-445A23ED0167}" name="Part of Bronx County Vote Results" totalsRowFunction="custom" dataDxfId="1054" totalsRowDxfId="1053">
      <totalsRowFormula>SUBTOTAL(109,GovByAssemblyDistrict81General[Total Votes by Candidate])</totalsRowFormula>
    </tableColumn>
    <tableColumn id="3" xr3:uid="{89009835-849F-42C5-91B8-7635DB1069A1}" name="Total Votes by Party" dataDxfId="1052" totalsRowDxfId="1051">
      <calculatedColumnFormula>GovByAssemblyDistrict81General[[#This Row],[Part of Bronx County Vote Results]]</calculatedColumnFormula>
    </tableColumn>
    <tableColumn id="2" xr3:uid="{BC6D0FA9-B981-4D73-B93E-E0C46D7ED1C0}" name="Total Votes by Candidate" dataDxfId="1050" totalsRowDxfId="1049"/>
  </tableColumns>
  <tableStyleInfo name="TableStyleMedium2" showFirstColumn="0" showLastColumn="0" showRowStripes="0" showColumnStripes="0"/>
</table>
</file>

<file path=xl/tables/table8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6" xr:uid="{E62EA997-5371-4592-968C-25AA7FA2448B}" name="GovByAssemblyDistrict82General" displayName="GovByAssemblyDistrict82General" ref="A2:D16" totalsRowCount="1" headerRowDxfId="1048" dataDxfId="1046" headerRowBorderDxfId="1047" tableBorderDxfId="1045" totalsRowBorderDxfId="1044">
  <autoFilter ref="A2:D15" xr:uid="{C7246219-295D-4C46-8733-D2E6DDC6527F}">
    <filterColumn colId="0" hiddenButton="1"/>
    <filterColumn colId="1" hiddenButton="1"/>
    <filterColumn colId="2" hiddenButton="1"/>
    <filterColumn colId="3" hiddenButton="1"/>
  </autoFilter>
  <tableColumns count="4">
    <tableColumn id="1" xr3:uid="{B91B7467-0078-4F05-B0D8-144653EEBBD5}" name="Candidate Name (Party)" totalsRowLabel="Total Votes by County" dataDxfId="1043" totalsRowDxfId="1042"/>
    <tableColumn id="4" xr3:uid="{2E5B415C-B0B1-4C53-9F19-F2D559004BDF}" name="Part of Bronx County Vote Results" totalsRowFunction="custom" dataDxfId="1041" totalsRowDxfId="1040">
      <totalsRowFormula>SUBTOTAL(109,GovByAssemblyDistrict82General[Total Votes by Candidate])</totalsRowFormula>
    </tableColumn>
    <tableColumn id="3" xr3:uid="{6C9A0301-22C2-4229-9CAD-9C6DF76BC56E}" name="Total Votes by Party" dataDxfId="1039" totalsRowDxfId="1038">
      <calculatedColumnFormula>GovByAssemblyDistrict82General[[#This Row],[Part of Bronx County Vote Results]]</calculatedColumnFormula>
    </tableColumn>
    <tableColumn id="2" xr3:uid="{56D9A651-48A1-48C0-B64E-B84BE066DCC2}" name="Total Votes by Candidate" dataDxfId="1037" totalsRowDxfId="1036"/>
  </tableColumns>
  <tableStyleInfo name="TableStyleMedium2" showFirstColumn="0" showLastColumn="0" showRowStripes="0" showColumnStripes="0"/>
</table>
</file>

<file path=xl/tables/table8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7" xr:uid="{A7B32133-70A9-4180-BB2D-91B7A527EF8A}" name="GovByAssemblyDistrict83General" displayName="GovByAssemblyDistrict83General" ref="A2:D16" totalsRowCount="1" headerRowDxfId="1035" dataDxfId="1033" headerRowBorderDxfId="1034" tableBorderDxfId="1032" totalsRowBorderDxfId="1031">
  <autoFilter ref="A2:D15" xr:uid="{90139699-F07B-42D5-8CAA-3030EA69D27E}">
    <filterColumn colId="0" hiddenButton="1"/>
    <filterColumn colId="1" hiddenButton="1"/>
    <filterColumn colId="2" hiddenButton="1"/>
    <filterColumn colId="3" hiddenButton="1"/>
  </autoFilter>
  <tableColumns count="4">
    <tableColumn id="1" xr3:uid="{CC22F565-46C7-4A18-B024-D240DF680755}" name="Candidate Name (Party)" totalsRowLabel="Total Votes by County" dataDxfId="1030" totalsRowDxfId="1029"/>
    <tableColumn id="4" xr3:uid="{EF193F9E-EB1C-4E78-9C4F-35476F6C0003}" name="Part of Bronx County Vote Results" totalsRowFunction="custom" dataDxfId="1028" totalsRowDxfId="1027">
      <totalsRowFormula>SUBTOTAL(109,GovByAssemblyDistrict83General[Total Votes by Candidate])</totalsRowFormula>
    </tableColumn>
    <tableColumn id="3" xr3:uid="{496612C0-9ED4-416B-BBC6-98AB10E9754C}" name="Total Votes by Party" dataDxfId="1026" totalsRowDxfId="1025">
      <calculatedColumnFormula>GovByAssemblyDistrict83General[[#This Row],[Part of Bronx County Vote Results]]</calculatedColumnFormula>
    </tableColumn>
    <tableColumn id="2" xr3:uid="{BE979269-32B0-4934-A424-E8B89F6A7B6C}" name="Total Votes by Candidate" dataDxfId="1024" totalsRowDxfId="1023"/>
  </tableColumns>
  <tableStyleInfo name="TableStyleMedium2" showFirstColumn="0" showLastColumn="0" showRowStripes="0" showColumnStripes="0"/>
</table>
</file>

<file path=xl/tables/table8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8" xr:uid="{78F77F4E-9C0D-4ACC-872A-070632FEA92A}" name="GovByAssemblyDistrict84General" displayName="GovByAssemblyDistrict84General" ref="A2:D16" totalsRowCount="1" headerRowDxfId="1022" dataDxfId="1020" headerRowBorderDxfId="1021" tableBorderDxfId="1019" totalsRowBorderDxfId="1018">
  <autoFilter ref="A2:D15" xr:uid="{00119AE6-13CE-4A7E-B1FD-393CA37DD7E9}">
    <filterColumn colId="0" hiddenButton="1"/>
    <filterColumn colId="1" hiddenButton="1"/>
    <filterColumn colId="2" hiddenButton="1"/>
    <filterColumn colId="3" hiddenButton="1"/>
  </autoFilter>
  <tableColumns count="4">
    <tableColumn id="1" xr3:uid="{7AA417CF-65E8-48A3-A8E6-189CD2BCA9E6}" name="Candidate Name (Party)" totalsRowLabel="Total Votes by County" dataDxfId="1017" totalsRowDxfId="1016"/>
    <tableColumn id="4" xr3:uid="{BBA788E0-AF66-48D2-876C-F5811B627685}" name="Part of Bronx County Vote Results" totalsRowFunction="custom" dataDxfId="1015" totalsRowDxfId="1014">
      <totalsRowFormula>SUBTOTAL(109,GovByAssemblyDistrict84General[Total Votes by Candidate])</totalsRowFormula>
    </tableColumn>
    <tableColumn id="3" xr3:uid="{7B9C4F7A-9AD8-426E-A2B2-DFC3E8673551}" name="Total Votes by Party" dataDxfId="1013" totalsRowDxfId="1012">
      <calculatedColumnFormula>GovByAssemblyDistrict84General[[#This Row],[Part of Bronx County Vote Results]]</calculatedColumnFormula>
    </tableColumn>
    <tableColumn id="2" xr3:uid="{7E784C73-DAFD-4B86-A2A6-88905271E33A}" name="Total Votes by Candidate" dataDxfId="1011" totalsRowDxfId="1010"/>
  </tableColumns>
  <tableStyleInfo name="TableStyleMedium2" showFirstColumn="0" showLastColumn="0" showRowStripes="0" showColumnStripes="0"/>
</table>
</file>

<file path=xl/tables/table8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0" xr:uid="{DE21E1BF-4DFB-4B69-B877-AD6F76791B60}" name="GovByAssemblyDistrict85General" displayName="GovByAssemblyDistrict85General" ref="A2:D16" totalsRowCount="1" headerRowDxfId="1009" dataDxfId="1007" headerRowBorderDxfId="1008" tableBorderDxfId="1006" totalsRowBorderDxfId="1005">
  <autoFilter ref="A2:D15" xr:uid="{A75C9068-981C-4405-99AA-8DCB967E8B58}">
    <filterColumn colId="0" hiddenButton="1"/>
    <filterColumn colId="1" hiddenButton="1"/>
    <filterColumn colId="2" hiddenButton="1"/>
    <filterColumn colId="3" hiddenButton="1"/>
  </autoFilter>
  <tableColumns count="4">
    <tableColumn id="1" xr3:uid="{204925FC-FAA0-4E39-9F67-1E22ADEAAD52}" name="Candidate Name (Party)" totalsRowLabel="Total Votes by County" dataDxfId="1004" totalsRowDxfId="1003"/>
    <tableColumn id="4" xr3:uid="{DF50C6B5-0C16-4CFF-9953-92FD4E549CA1}" name="Part of Bronx County Vote Results" totalsRowFunction="custom" dataDxfId="1002" totalsRowDxfId="1001">
      <totalsRowFormula>SUBTOTAL(109,GovByAssemblyDistrict85General[Total Votes by Candidate])</totalsRowFormula>
    </tableColumn>
    <tableColumn id="3" xr3:uid="{84607A1B-AC07-4846-9937-AB0C33653AD3}" name="Total Votes by Party" dataDxfId="1000" totalsRowDxfId="999">
      <calculatedColumnFormula>GovByAssemblyDistrict85General[[#This Row],[Part of Bronx County Vote Results]]</calculatedColumnFormula>
    </tableColumn>
    <tableColumn id="2" xr3:uid="{B22F30C2-B166-4501-8610-6EB5CA7CCB39}" name="Total Votes by Candidate" dataDxfId="998" totalsRowDxfId="997"/>
  </tableColumns>
  <tableStyleInfo name="TableStyleMedium2" showFirstColumn="0" showLastColumn="0" showRowStripes="0" showColumnStripes="0"/>
</table>
</file>

<file path=xl/tables/table8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1" xr:uid="{99DE8624-20A5-4848-918E-05699F1BDD90}" name="GovByAssemblyDistrict86General" displayName="GovByAssemblyDistrict86General" ref="A2:D16" totalsRowCount="1" headerRowDxfId="996" dataDxfId="994" headerRowBorderDxfId="995" tableBorderDxfId="993" totalsRowBorderDxfId="992">
  <autoFilter ref="A2:D15" xr:uid="{D57349E4-17BA-4C44-8A62-475D11CC5A0C}">
    <filterColumn colId="0" hiddenButton="1"/>
    <filterColumn colId="1" hiddenButton="1"/>
    <filterColumn colId="2" hiddenButton="1"/>
    <filterColumn colId="3" hiddenButton="1"/>
  </autoFilter>
  <tableColumns count="4">
    <tableColumn id="1" xr3:uid="{C02B5E4C-C882-43C8-AFA1-C63C849C2AD2}" name="Candidate Name (Party)" totalsRowLabel="Total Votes by County" dataDxfId="991" totalsRowDxfId="990"/>
    <tableColumn id="4" xr3:uid="{F3C8F236-945E-4CCF-BAFF-4C50158F6A24}" name="Part of Bronx County Vote Results" totalsRowFunction="custom" dataDxfId="989" totalsRowDxfId="988">
      <totalsRowFormula>SUBTOTAL(109,GovByAssemblyDistrict86General[Total Votes by Candidate])</totalsRowFormula>
    </tableColumn>
    <tableColumn id="3" xr3:uid="{BFECBEA0-11C1-4096-B097-0A76C69EFEAE}" name="Total Votes by Party" dataDxfId="987" totalsRowDxfId="986">
      <calculatedColumnFormula>GovByAssemblyDistrict86General[[#This Row],[Part of Bronx County Vote Results]]</calculatedColumnFormula>
    </tableColumn>
    <tableColumn id="2" xr3:uid="{91EB207D-30CC-4B1E-B754-32211718ECD6}" name="Total Votes by Candidate" dataDxfId="985" totalsRowDxfId="984"/>
  </tableColumns>
  <tableStyleInfo name="TableStyleMedium2" showFirstColumn="0" showLastColumn="0" showRowStripes="0" showColumnStripes="0"/>
</table>
</file>

<file path=xl/tables/table8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2" xr:uid="{06463742-B040-4685-9DDB-6BE8E002D154}" name="GovByAssemblyDistrict87General" displayName="GovByAssemblyDistrict87General" ref="A2:D16" totalsRowCount="1" headerRowDxfId="983" dataDxfId="981" headerRowBorderDxfId="982" tableBorderDxfId="980" totalsRowBorderDxfId="979">
  <autoFilter ref="A2:D15" xr:uid="{E54EC73B-B783-4C3A-89CE-FB0647EC72B4}">
    <filterColumn colId="0" hiddenButton="1"/>
    <filterColumn colId="1" hiddenButton="1"/>
    <filterColumn colId="2" hiddenButton="1"/>
    <filterColumn colId="3" hiddenButton="1"/>
  </autoFilter>
  <tableColumns count="4">
    <tableColumn id="1" xr3:uid="{3878FD5E-23C4-4C53-933B-76F858976FB4}" name="Candidate Name (Party)" totalsRowLabel="Total Votes by County" dataDxfId="978" totalsRowDxfId="977"/>
    <tableColumn id="4" xr3:uid="{97F5CC2A-BD7B-4A40-92DE-88D36A3CEE97}" name="Part of Bronx County Vote Results" totalsRowFunction="custom" dataDxfId="976" totalsRowDxfId="975">
      <totalsRowFormula>SUBTOTAL(109,GovByAssemblyDistrict87General[Total Votes by Candidate])</totalsRowFormula>
    </tableColumn>
    <tableColumn id="3" xr3:uid="{5B73B250-1F56-47B6-9C5E-C3C51F825906}" name="Total Votes by Party" dataDxfId="974" totalsRowDxfId="973">
      <calculatedColumnFormula>GovByAssemblyDistrict87General[[#This Row],[Part of Bronx County Vote Results]]</calculatedColumnFormula>
    </tableColumn>
    <tableColumn id="2" xr3:uid="{B8AE232A-2232-4CCD-8CD5-DDE88B9E1676}" name="Total Votes by Candidate" dataDxfId="972" totalsRowDxfId="971"/>
  </tableColumns>
  <tableStyleInfo name="TableStyleMedium2" showFirstColumn="0" showLastColumn="0" showRowStripes="0" showColumnStripes="0"/>
</table>
</file>

<file path=xl/tables/table8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3" xr:uid="{EC3ADB2A-96CC-4B47-B362-BC232DD22638}" name="GovByAssemblyDistrict88General" displayName="GovByAssemblyDistrict88General" ref="A2:D16" totalsRowCount="1" headerRowDxfId="970" dataDxfId="968" headerRowBorderDxfId="969" tableBorderDxfId="967" totalsRowBorderDxfId="966">
  <autoFilter ref="A2:D15" xr:uid="{5ECBC656-ECD6-4A08-A54B-C0BFAB4B4342}">
    <filterColumn colId="0" hiddenButton="1"/>
    <filterColumn colId="1" hiddenButton="1"/>
    <filterColumn colId="2" hiddenButton="1"/>
    <filterColumn colId="3" hiddenButton="1"/>
  </autoFilter>
  <tableColumns count="4">
    <tableColumn id="1" xr3:uid="{BA865653-E9E2-41A3-A9F5-64FA397A4C5E}" name="Candidate Name (Party)" totalsRowLabel="Total Votes by County" dataDxfId="965" totalsRowDxfId="964"/>
    <tableColumn id="4" xr3:uid="{8A9D039A-95C7-4E3E-8F06-5273CDD64F75}" name="Part of Westchester County Vote Results" totalsRowFunction="custom" dataDxfId="963" totalsRowDxfId="962">
      <totalsRowFormula>SUBTOTAL(109,GovByAssemblyDistrict88General[Total Votes by Candidate])</totalsRowFormula>
    </tableColumn>
    <tableColumn id="3" xr3:uid="{6914DE07-CA86-4B8B-9739-940699088EDD}" name="Total Votes by Party" dataDxfId="961" totalsRowDxfId="960">
      <calculatedColumnFormula>GovByAssemblyDistrict88General[[#This Row],[Part of Westchester County Vote Results]]</calculatedColumnFormula>
    </tableColumn>
    <tableColumn id="2" xr3:uid="{C20665EC-EC80-4DEB-9474-3184A128FD3C}" name="Total Votes by Candidate" dataDxfId="959" totalsRowDxfId="958"/>
  </tableColumns>
  <tableStyleInfo name="TableStyleMedium2" showFirstColumn="0" showLastColumn="0" showRowStripes="0" showColumnStripes="0"/>
</table>
</file>

<file path=xl/tables/table8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4" xr:uid="{2A55D806-4642-42E8-8828-DBF075554CBC}" name="GovByAssemblyDistrict89General" displayName="GovByAssemblyDistrict89General" ref="A2:D16" totalsRowCount="1" headerRowDxfId="957" dataDxfId="955" headerRowBorderDxfId="956" tableBorderDxfId="954" totalsRowBorderDxfId="953">
  <autoFilter ref="A2:D15" xr:uid="{9B33D9DC-C12A-48AF-8546-D34D48B9E495}">
    <filterColumn colId="0" hiddenButton="1"/>
    <filterColumn colId="1" hiddenButton="1"/>
    <filterColumn colId="2" hiddenButton="1"/>
    <filterColumn colId="3" hiddenButton="1"/>
  </autoFilter>
  <tableColumns count="4">
    <tableColumn id="1" xr3:uid="{AB5EDA50-EFA1-4180-81F5-B9F0D5372385}" name="Candidate Name (Party)" totalsRowLabel="Total Votes by County" dataDxfId="952" totalsRowDxfId="951"/>
    <tableColumn id="4" xr3:uid="{E259E053-27CD-4D36-AE9F-0EE947C33F7B}" name="Part of Westchester County Vote Results" totalsRowFunction="custom" dataDxfId="950" totalsRowDxfId="949">
      <totalsRowFormula>SUBTOTAL(109,GovByAssemblyDistrict89General[Total Votes by Candidate])</totalsRowFormula>
    </tableColumn>
    <tableColumn id="3" xr3:uid="{4738FF5B-6BAA-410B-B2CF-C3081F8FC899}" name="Total Votes by Party" dataDxfId="948" totalsRowDxfId="947">
      <calculatedColumnFormula>GovByAssemblyDistrict89General[[#This Row],[Part of Westchester County Vote Results]]</calculatedColumnFormula>
    </tableColumn>
    <tableColumn id="2" xr3:uid="{13342A7B-DEB2-415F-BD4A-218CC201661E}" name="Total Votes by Candidate" dataDxfId="946" totalsRowDxfId="945"/>
  </tableColumns>
  <tableStyleInfo name="TableStyleMedium2" showFirstColumn="0" showLastColumn="0" showRowStripes="0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AB5FB743-9E94-4632-A847-C820A45B0400}" name="GovByAssemblyDistrict9General" displayName="GovByAssemblyDistrict9General" ref="A2:E16" totalsRowCount="1" headerRowDxfId="2001" dataDxfId="1999" headerRowBorderDxfId="2000" tableBorderDxfId="1998" totalsRowBorderDxfId="1997">
  <autoFilter ref="A2:E15" xr:uid="{171AA563-B1AD-4248-A94A-D65A6E7179E8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E764488A-BE5E-4723-BDFC-249E45DC793F}" name="Candidate Name (Party)" totalsRowLabel="Total Votes by County" dataDxfId="1996" totalsRowDxfId="1995"/>
    <tableColumn id="2" xr3:uid="{CB9E467D-E849-41C5-9130-BA34CC1CD972}" name="Part of Nassau County Vote Results" totalsRowFunction="sum" dataDxfId="1994" totalsRowDxfId="1993"/>
    <tableColumn id="4" xr3:uid="{3B4599F3-3395-410C-9DFA-15926027CD4A}" name="Part of Suffolk County Vote Results" totalsRowFunction="sum" dataDxfId="1992" totalsRowDxfId="1991"/>
    <tableColumn id="3" xr3:uid="{0F337D4C-1412-438B-925F-456C139079C8}" name="Total Votes by Party" dataDxfId="1990" totalsRowDxfId="1989">
      <calculatedColumnFormula>SUM(GovByAssemblyDistrict9General[[#This Row],[Part of Nassau County Vote Results]:[Part of Suffolk County Vote Results]])</calculatedColumnFormula>
    </tableColumn>
    <tableColumn id="5" xr3:uid="{C54AC215-354F-41A4-8301-91F64E921136}" name="Total Votes by Candidate" dataDxfId="1988" totalsRowDxfId="1987"/>
  </tableColumns>
  <tableStyleInfo name="TableStyleMedium2" showFirstColumn="0" showLastColumn="0" showRowStripes="0" showColumnStripes="0"/>
</table>
</file>

<file path=xl/tables/table9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5" xr:uid="{DDC77B37-E834-4345-89AA-9BCC96A656CC}" name="GovByAssemblyDistrict90General" displayName="GovByAssemblyDistrict90General" ref="A2:D16" totalsRowCount="1" headerRowDxfId="944" dataDxfId="942" headerRowBorderDxfId="943" tableBorderDxfId="941" totalsRowBorderDxfId="940">
  <autoFilter ref="A2:D15" xr:uid="{66EC4A61-F0C3-439F-A678-150784510690}">
    <filterColumn colId="0" hiddenButton="1"/>
    <filterColumn colId="1" hiddenButton="1"/>
    <filterColumn colId="2" hiddenButton="1"/>
    <filterColumn colId="3" hiddenButton="1"/>
  </autoFilter>
  <tableColumns count="4">
    <tableColumn id="1" xr3:uid="{5BB6ED2B-8A98-4192-980B-C705B526E289}" name="Candidate Name (Party)" totalsRowLabel="Total Votes by County" dataDxfId="939" totalsRowDxfId="938"/>
    <tableColumn id="4" xr3:uid="{03451982-E7A7-4311-80F0-84A57BDB7206}" name="Part of Westchester County Vote Results" totalsRowFunction="custom" dataDxfId="937" totalsRowDxfId="936">
      <totalsRowFormula>SUBTOTAL(109,GovByAssemblyDistrict90General[Total Votes by Candidate])</totalsRowFormula>
    </tableColumn>
    <tableColumn id="3" xr3:uid="{4DB6D25A-BE49-4EE8-AEE0-A3093A5689E8}" name="Total Votes by Party" dataDxfId="935" totalsRowDxfId="934">
      <calculatedColumnFormula>GovByAssemblyDistrict90General[[#This Row],[Part of Westchester County Vote Results]]</calculatedColumnFormula>
    </tableColumn>
    <tableColumn id="2" xr3:uid="{B314755C-69B5-4511-B1BB-E03B2ECF8BDE}" name="Total Votes by Candidate" dataDxfId="933" totalsRowDxfId="932"/>
  </tableColumns>
  <tableStyleInfo name="TableStyleMedium2" showFirstColumn="0" showLastColumn="0" showRowStripes="0" showColumnStripes="0"/>
</table>
</file>

<file path=xl/tables/table9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6" xr:uid="{2D7E5937-546A-4261-ACF7-7CC5C9DC7667}" name="GovByAssemblyDistrict91General" displayName="GovByAssemblyDistrict91General" ref="A2:D16" totalsRowCount="1" headerRowDxfId="931" dataDxfId="929" headerRowBorderDxfId="930" tableBorderDxfId="928" totalsRowBorderDxfId="927">
  <autoFilter ref="A2:D15" xr:uid="{6094FEA5-66A3-48F6-B35E-A86D888F5786}">
    <filterColumn colId="0" hiddenButton="1"/>
    <filterColumn colId="1" hiddenButton="1"/>
    <filterColumn colId="2" hiddenButton="1"/>
    <filterColumn colId="3" hiddenButton="1"/>
  </autoFilter>
  <tableColumns count="4">
    <tableColumn id="1" xr3:uid="{9B353262-87DB-486D-A05D-2A392A52EAC1}" name="Candidate Name (Party)" totalsRowLabel="Total Votes by County" dataDxfId="926" totalsRowDxfId="925"/>
    <tableColumn id="4" xr3:uid="{A22E6244-353A-473D-BBF7-433991C5203D}" name="Part of Westchester County Vote Results" totalsRowFunction="custom" dataDxfId="924" totalsRowDxfId="923">
      <totalsRowFormula>SUBTOTAL(109,GovByAssemblyDistrict91General[Total Votes by Candidate])</totalsRowFormula>
    </tableColumn>
    <tableColumn id="3" xr3:uid="{146E4E6D-C9BB-4F70-BDF7-ED8A749C5274}" name="Total Votes by Party" dataDxfId="922" totalsRowDxfId="921">
      <calculatedColumnFormula>GovByAssemblyDistrict91General[[#This Row],[Part of Westchester County Vote Results]]</calculatedColumnFormula>
    </tableColumn>
    <tableColumn id="2" xr3:uid="{AD475A54-B9A5-422A-BFC8-CD1CF460466E}" name="Total Votes by Candidate" dataDxfId="920" totalsRowDxfId="919"/>
  </tableColumns>
  <tableStyleInfo name="TableStyleMedium2" showFirstColumn="0" showLastColumn="0" showRowStripes="0" showColumnStripes="0"/>
</table>
</file>

<file path=xl/tables/table9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7" xr:uid="{6D913CEE-E500-4181-AF05-9FCE1AB35D41}" name="GovByAssemblyDistrict92General" displayName="GovByAssemblyDistrict92General" ref="A2:D16" totalsRowCount="1" headerRowDxfId="918" dataDxfId="916" headerRowBorderDxfId="917" tableBorderDxfId="915" totalsRowBorderDxfId="914">
  <autoFilter ref="A2:D15" xr:uid="{50DC3BD9-ABC4-4005-AC7F-33C4D2D60A02}">
    <filterColumn colId="0" hiddenButton="1"/>
    <filterColumn colId="1" hiddenButton="1"/>
    <filterColumn colId="2" hiddenButton="1"/>
    <filterColumn colId="3" hiddenButton="1"/>
  </autoFilter>
  <tableColumns count="4">
    <tableColumn id="1" xr3:uid="{6ADA414F-70B7-48D4-9894-BA8687212355}" name="Candidate Name (Party)" totalsRowLabel="Total Votes by County" dataDxfId="913" totalsRowDxfId="912"/>
    <tableColumn id="4" xr3:uid="{660A92A7-B65E-4393-B58E-E04B5FDE224B}" name="Part of Westchester County Vote Results" totalsRowFunction="custom" dataDxfId="911" totalsRowDxfId="910">
      <totalsRowFormula>SUBTOTAL(109,GovByAssemblyDistrict92General[Total Votes by Candidate])</totalsRowFormula>
    </tableColumn>
    <tableColumn id="3" xr3:uid="{5791F292-1AF8-437B-8CAE-9C1CE1AB55A0}" name="Total Votes by Party" dataDxfId="909" totalsRowDxfId="908">
      <calculatedColumnFormula>GovByAssemblyDistrict92General[[#This Row],[Part of Westchester County Vote Results]]</calculatedColumnFormula>
    </tableColumn>
    <tableColumn id="2" xr3:uid="{0F100C4B-498E-40D7-89A2-B6DF1D11F538}" name="Total Votes by Candidate" dataDxfId="907" totalsRowDxfId="906"/>
  </tableColumns>
  <tableStyleInfo name="TableStyleMedium2" showFirstColumn="0" showLastColumn="0" showRowStripes="0" showColumnStripes="0"/>
</table>
</file>

<file path=xl/tables/table9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8" xr:uid="{8DF8DA62-F3E1-4F67-9C3A-006A2E068DDC}" name="GovByAssemblyDistrict93General" displayName="GovByAssemblyDistrict93General" ref="A2:D16" totalsRowCount="1" headerRowDxfId="905" dataDxfId="903" headerRowBorderDxfId="904" tableBorderDxfId="902" totalsRowBorderDxfId="901">
  <autoFilter ref="A2:D15" xr:uid="{03182E6C-D928-4977-84BF-4CB3703BD001}">
    <filterColumn colId="0" hiddenButton="1"/>
    <filterColumn colId="1" hiddenButton="1"/>
    <filterColumn colId="2" hiddenButton="1"/>
    <filterColumn colId="3" hiddenButton="1"/>
  </autoFilter>
  <tableColumns count="4">
    <tableColumn id="1" xr3:uid="{83C7FC39-F8E6-4E6B-99EE-219F3916E487}" name="Candidate Name (Party)" totalsRowLabel="Total Votes by County" dataDxfId="900" totalsRowDxfId="899"/>
    <tableColumn id="4" xr3:uid="{907490C5-69EF-4A91-A3E6-7439278CE4A4}" name="Part of Westchester County Vote Results" totalsRowFunction="custom" dataDxfId="898" totalsRowDxfId="897">
      <totalsRowFormula>SUBTOTAL(109,GovByAssemblyDistrict93General[Total Votes by Candidate])</totalsRowFormula>
    </tableColumn>
    <tableColumn id="3" xr3:uid="{A66FC389-69D7-49CF-AFE0-9D5339386B0C}" name="Total Votes by Party" dataDxfId="896" totalsRowDxfId="895">
      <calculatedColumnFormula>GovByAssemblyDistrict93General[[#This Row],[Part of Westchester County Vote Results]]</calculatedColumnFormula>
    </tableColumn>
    <tableColumn id="2" xr3:uid="{341F8642-140C-4AD9-B401-2031D6F1E5CF}" name="Total Votes by Candidate" dataDxfId="894" totalsRowDxfId="893"/>
  </tableColumns>
  <tableStyleInfo name="TableStyleMedium2" showFirstColumn="0" showLastColumn="0" showRowStripes="0" showColumnStripes="0"/>
</table>
</file>

<file path=xl/tables/table9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9" xr:uid="{4AF9DBD9-E49D-49AC-813D-4950FDEF4A49}" name="GovByAssemblyDistrict94General" displayName="GovByAssemblyDistrict94General" ref="A2:E16" totalsRowCount="1" headerRowDxfId="892" dataDxfId="890" headerRowBorderDxfId="891" tableBorderDxfId="889" totalsRowBorderDxfId="888">
  <autoFilter ref="A2:E15" xr:uid="{E4074960-6BC2-40CD-96DE-09328F29BA6A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F00FEC98-CF7D-474C-9F69-271082FF5EAB}" name="Candidate Name (Party)" totalsRowLabel="Total Votes by County" dataDxfId="887" totalsRowDxfId="886"/>
    <tableColumn id="2" xr3:uid="{06C94B53-D8EB-4D2B-9A9F-405930FF208A}" name="Part of Putnam County Vote Results" totalsRowFunction="sum" dataDxfId="885" totalsRowDxfId="884"/>
    <tableColumn id="4" xr3:uid="{422531A1-F3B6-418E-B743-C143ACAAF6E8}" name="Part of Westchester County Vote Results" totalsRowFunction="sum" dataDxfId="883" totalsRowDxfId="882"/>
    <tableColumn id="3" xr3:uid="{43027E71-2FD9-4F53-9A30-2808B08B355A}" name="Total Votes by Party" dataDxfId="881" totalsRowDxfId="880">
      <calculatedColumnFormula>SUM(GovByAssemblyDistrict94General[[#This Row],[Part of Putnam County Vote Results]:[Part of Westchester County Vote Results]])</calculatedColumnFormula>
    </tableColumn>
    <tableColumn id="5" xr3:uid="{D511CEC4-471B-435E-9472-98F9B568C510}" name="Total Votes by Candidate" dataDxfId="879" totalsRowDxfId="878"/>
  </tableColumns>
  <tableStyleInfo name="TableStyleMedium2" showFirstColumn="0" showLastColumn="0" showRowStripes="0" showColumnStripes="0"/>
</table>
</file>

<file path=xl/tables/table9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0" xr:uid="{7588BA21-221E-4CC2-99D6-3A4E9DE66F3B}" name="GovByAssemblyDistrict95General" displayName="GovByAssemblyDistrict95General" ref="A2:E16" totalsRowCount="1" headerRowDxfId="877" dataDxfId="875" headerRowBorderDxfId="876" tableBorderDxfId="874" totalsRowBorderDxfId="873">
  <autoFilter ref="A2:E15" xr:uid="{1623BD71-9B64-4568-9483-8CC6DFDE4DC7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CE1E026-9CB8-4FDF-8E6F-9512A5771438}" name="Candidate Name (Party)" totalsRowLabel="Total Votes by County" dataDxfId="872" totalsRowDxfId="871"/>
    <tableColumn id="2" xr3:uid="{3242A192-BB15-440F-890C-870E5F8C196A}" name="Part of Putnam County Vote Results" totalsRowFunction="sum" dataDxfId="870" totalsRowDxfId="869"/>
    <tableColumn id="4" xr3:uid="{ACABE45B-79C2-4989-86B0-90A2E7BA646D}" name="Part of Westchester County Vote Results" totalsRowFunction="sum" dataDxfId="868" totalsRowDxfId="867"/>
    <tableColumn id="3" xr3:uid="{5AF5866C-3B2D-47DE-980D-640ECDE0CAB4}" name="Total Votes by Party" dataDxfId="866" totalsRowDxfId="865">
      <calculatedColumnFormula>SUM(GovByAssemblyDistrict95General[[#This Row],[Part of Putnam County Vote Results]:[Part of Westchester County Vote Results]])</calculatedColumnFormula>
    </tableColumn>
    <tableColumn id="5" xr3:uid="{181481EA-3A9F-4ACE-A1FC-FA5273A42396}" name="Total Votes by Candidate" dataDxfId="864" totalsRowDxfId="863"/>
  </tableColumns>
  <tableStyleInfo name="TableStyleMedium2" showFirstColumn="0" showLastColumn="0" showRowStripes="0" showColumnStripes="0"/>
</table>
</file>

<file path=xl/tables/table9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1" xr:uid="{A8E8BAAB-84A6-4941-9B82-F83956D02F3C}" name="GovByAssemblyDistrict96General" displayName="GovByAssemblyDistrict96General" ref="A2:D16" totalsRowCount="1" headerRowDxfId="862" dataDxfId="860" headerRowBorderDxfId="861" tableBorderDxfId="859" totalsRowBorderDxfId="858">
  <autoFilter ref="A2:D15" xr:uid="{8A8C457D-1291-4ED4-928F-90CD8A0C5A6B}">
    <filterColumn colId="0" hiddenButton="1"/>
    <filterColumn colId="1" hiddenButton="1"/>
    <filterColumn colId="2" hiddenButton="1"/>
    <filterColumn colId="3" hiddenButton="1"/>
  </autoFilter>
  <tableColumns count="4">
    <tableColumn id="1" xr3:uid="{A1C1F07E-E76B-442E-94F2-A682DF24FCDC}" name="Candidate Name (Party)" totalsRowLabel="Total Votes by County" dataDxfId="857" totalsRowDxfId="856"/>
    <tableColumn id="4" xr3:uid="{6F8C0E85-5CC7-4C45-BD52-C542F2CC8307}" name="Part of Rockland County Vote Results" totalsRowFunction="custom" dataDxfId="855" totalsRowDxfId="854">
      <totalsRowFormula>SUBTOTAL(109,GovByAssemblyDistrict96General[Total Votes by Candidate])</totalsRowFormula>
    </tableColumn>
    <tableColumn id="3" xr3:uid="{051151EE-1094-4E95-A725-E8A30769223C}" name="Total Votes by Party" dataDxfId="853" totalsRowDxfId="852">
      <calculatedColumnFormula>GovByAssemblyDistrict96General[[#This Row],[Part of Rockland County Vote Results]]</calculatedColumnFormula>
    </tableColumn>
    <tableColumn id="2" xr3:uid="{E9932660-035A-402B-AD23-500D21624ED1}" name="Total Votes by Candidate" dataDxfId="851" totalsRowDxfId="850"/>
  </tableColumns>
  <tableStyleInfo name="TableStyleMedium2" showFirstColumn="0" showLastColumn="0" showRowStripes="0" showColumnStripes="0"/>
</table>
</file>

<file path=xl/tables/table9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2" xr:uid="{7F0EE50C-BCD6-4559-AB10-410993F6E969}" name="GovByAssemblyDistrict97General" displayName="GovByAssemblyDistrict97General" ref="A2:D16" totalsRowCount="1" headerRowDxfId="849" dataDxfId="847" headerRowBorderDxfId="848" tableBorderDxfId="846" totalsRowBorderDxfId="845">
  <autoFilter ref="A2:D15" xr:uid="{64EDAF25-49C6-4551-BE8E-D64957FDC317}">
    <filterColumn colId="0" hiddenButton="1"/>
    <filterColumn colId="1" hiddenButton="1"/>
    <filterColumn colId="2" hiddenButton="1"/>
    <filterColumn colId="3" hiddenButton="1"/>
  </autoFilter>
  <tableColumns count="4">
    <tableColumn id="1" xr3:uid="{C3BE436D-27B0-41E0-AC75-D1A98320100F}" name="Candidate Name (Party)" totalsRowLabel="Total Votes by County" dataDxfId="844" totalsRowDxfId="843"/>
    <tableColumn id="4" xr3:uid="{1729DB1B-3BF8-43CF-9850-3F8B45DE63B4}" name="Part of Rockland County Vote Results" totalsRowFunction="custom" dataDxfId="842" totalsRowDxfId="841">
      <totalsRowFormula>SUBTOTAL(109,GovByAssemblyDistrict97General[Total Votes by Candidate])</totalsRowFormula>
    </tableColumn>
    <tableColumn id="3" xr3:uid="{EF6A09A0-22A5-4B5B-AEB0-50384A01012C}" name="Total Votes by Party" dataDxfId="840" totalsRowDxfId="839">
      <calculatedColumnFormula>GovByAssemblyDistrict97General[[#This Row],[Part of Rockland County Vote Results]]</calculatedColumnFormula>
    </tableColumn>
    <tableColumn id="2" xr3:uid="{692748A7-8D5A-4F50-8EE6-A3393C30F39C}" name="Total Votes by Candidate" dataDxfId="838" totalsRowDxfId="837"/>
  </tableColumns>
  <tableStyleInfo name="TableStyleMedium2" showFirstColumn="0" showLastColumn="0" showRowStripes="0" showColumnStripes="0"/>
</table>
</file>

<file path=xl/tables/table9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3" xr:uid="{7FBCC0ED-4D5A-4015-99FD-2C25800CB923}" name="GovByAssemblyDistrict98General" displayName="GovByAssemblyDistrict98General" ref="A2:E16" totalsRowCount="1" headerRowDxfId="836" dataDxfId="834" headerRowBorderDxfId="835" tableBorderDxfId="833" totalsRowBorderDxfId="832">
  <autoFilter ref="A2:E15" xr:uid="{0230570B-2F97-4C07-A79E-776001647BC3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95BBF4AC-3DFC-4A62-AAFF-76EC0AFE6D72}" name="Candidate Name (Party)" totalsRowLabel="Total Votes by County" dataDxfId="831" totalsRowDxfId="830"/>
    <tableColumn id="2" xr3:uid="{24D783CD-CD6C-49EB-BFBB-6B4B37340250}" name="Part of Orange County Vote Results" totalsRowFunction="sum" dataDxfId="829" totalsRowDxfId="828"/>
    <tableColumn id="4" xr3:uid="{7EFF148D-1653-45FA-BACF-255ED6B9ECA6}" name="Part of Rockland County Vote Results" totalsRowFunction="sum" dataDxfId="827" totalsRowDxfId="826"/>
    <tableColumn id="3" xr3:uid="{3DB1CEAD-6C3C-49D8-B589-A02593FFCDB3}" name="Total Votes by Party" dataDxfId="825" totalsRowDxfId="824">
      <calculatedColumnFormula>SUM(GovByAssemblyDistrict98General[[#This Row],[Part of Orange County Vote Results]:[Part of Rockland County Vote Results]])</calculatedColumnFormula>
    </tableColumn>
    <tableColumn id="5" xr3:uid="{81C5BB45-7B28-4951-B204-CB39F11DCFDD}" name="Total Votes by Candidate" dataDxfId="823" totalsRowDxfId="822"/>
  </tableColumns>
  <tableStyleInfo name="TableStyleMedium2" showFirstColumn="0" showLastColumn="0" showRowStripes="0" showColumnStripes="0"/>
</table>
</file>

<file path=xl/tables/table9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4" xr:uid="{8630DE94-1C07-4457-9359-CDCA3E279F51}" name="GovByAssemblyDistrict99General" displayName="GovByAssemblyDistrict99General" ref="A2:E16" totalsRowCount="1" headerRowDxfId="821" dataDxfId="819" headerRowBorderDxfId="820" tableBorderDxfId="818" totalsRowBorderDxfId="817">
  <autoFilter ref="A2:E15" xr:uid="{A1938C39-7B94-48CB-AB4A-74B307E166A5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D188CF76-DB35-4651-9F29-4D61C325BE2C}" name="Candidate Name (Party)" totalsRowLabel="Total Votes by County" dataDxfId="816" totalsRowDxfId="815"/>
    <tableColumn id="2" xr3:uid="{C6707067-8C7C-437E-BD6C-30D56379C965}" name="Part of Orange County Vote Results" totalsRowFunction="sum" dataDxfId="814" totalsRowDxfId="813"/>
    <tableColumn id="4" xr3:uid="{888B3AA0-D255-4C28-8BBF-5FAFEB7422D3}" name="Part of Rockland County Vote Results" totalsRowFunction="sum" dataDxfId="812" totalsRowDxfId="811"/>
    <tableColumn id="3" xr3:uid="{BEF2DAB0-7595-4715-A791-69C2BE8F27B1}" name="Total Votes by Party" dataDxfId="810" totalsRowDxfId="809">
      <calculatedColumnFormula>SUM(GovByAssemblyDistrict99General[[#This Row],[Part of Orange County Vote Results]:[Part of Rockland County Vote Results]])</calculatedColumnFormula>
    </tableColumn>
    <tableColumn id="5" xr3:uid="{307AE914-799A-4AAB-AC69-499A4AB8D036}" name="Total Votes by Candidate" dataDxfId="808" totalsRowDxfId="807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0.xml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1.xml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2.xml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3.xml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4.xml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5.xml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6.xml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7.xml"/></Relationships>
</file>

<file path=xl/worksheets/_rels/sheet10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8.xml"/></Relationships>
</file>

<file path=xl/worksheets/_rels/sheet10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0.xml"/></Relationships>
</file>

<file path=xl/worksheets/_rels/sheet1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1.xml"/></Relationships>
</file>

<file path=xl/worksheets/_rels/sheet1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2.xml"/></Relationships>
</file>

<file path=xl/worksheets/_rels/sheet1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3.xml"/></Relationships>
</file>

<file path=xl/worksheets/_rels/sheet1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4.xml"/></Relationships>
</file>

<file path=xl/worksheets/_rels/sheet1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5.xml"/></Relationships>
</file>

<file path=xl/worksheets/_rels/sheet1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6.xml"/></Relationships>
</file>

<file path=xl/worksheets/_rels/sheet1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7.xml"/></Relationships>
</file>

<file path=xl/worksheets/_rels/sheet1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8.xml"/></Relationships>
</file>

<file path=xl/worksheets/_rels/sheet1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0.xml"/></Relationships>
</file>

<file path=xl/worksheets/_rels/sheet12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1.xml"/></Relationships>
</file>

<file path=xl/worksheets/_rels/sheet12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2.xml"/></Relationships>
</file>

<file path=xl/worksheets/_rels/sheet12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3.xml"/></Relationships>
</file>

<file path=xl/worksheets/_rels/sheet12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4.xml"/></Relationships>
</file>

<file path=xl/worksheets/_rels/sheet12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5.xml"/></Relationships>
</file>

<file path=xl/worksheets/_rels/sheet12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6.xml"/></Relationships>
</file>

<file path=xl/worksheets/_rels/sheet12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7.xml"/></Relationships>
</file>

<file path=xl/worksheets/_rels/sheet12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8.xml"/></Relationships>
</file>

<file path=xl/worksheets/_rels/sheet12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3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0.xml"/></Relationships>
</file>

<file path=xl/worksheets/_rels/sheet13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1.xml"/></Relationships>
</file>

<file path=xl/worksheets/_rels/sheet13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2.xml"/></Relationships>
</file>

<file path=xl/worksheets/_rels/sheet13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3.xml"/></Relationships>
</file>

<file path=xl/worksheets/_rels/sheet13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4.xml"/></Relationships>
</file>

<file path=xl/worksheets/_rels/sheet13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5.xml"/></Relationships>
</file>

<file path=xl/worksheets/_rels/sheet13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6.xml"/></Relationships>
</file>

<file path=xl/worksheets/_rels/sheet13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7.xml"/></Relationships>
</file>

<file path=xl/worksheets/_rels/sheet13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8.xml"/></Relationships>
</file>

<file path=xl/worksheets/_rels/sheet13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9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4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0.xml"/></Relationships>
</file>

<file path=xl/worksheets/_rels/sheet14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1.xml"/></Relationships>
</file>

<file path=xl/worksheets/_rels/sheet14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2.xml"/></Relationships>
</file>

<file path=xl/worksheets/_rels/sheet14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3.xml"/></Relationships>
</file>

<file path=xl/worksheets/_rels/sheet14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4.xml"/></Relationships>
</file>

<file path=xl/worksheets/_rels/sheet14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5.xml"/></Relationships>
</file>

<file path=xl/worksheets/_rels/sheet14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6.xml"/></Relationships>
</file>

<file path=xl/worksheets/_rels/sheet14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7.xml"/></Relationships>
</file>

<file path=xl/worksheets/_rels/sheet14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8.xml"/></Relationships>
</file>

<file path=xl/worksheets/_rels/sheet14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9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5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0.xml"/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3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1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2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3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4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5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6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7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8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0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1.xml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2.xml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3.xml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4.xml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5.xml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6.xml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7.xml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8.xml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9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0.xml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1.xml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2.xml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3.xml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4.xml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5.xml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6.xml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7.xml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8.xml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9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0.xml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1.xml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2.xml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3.xml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4.xml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5.xml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6.xml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7.xml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8.xml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9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2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0.xml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1.xml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2.xml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3.xml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4.xml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5.xml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6.xml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7.xml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8.xml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6"/>
  <sheetViews>
    <sheetView tabSelected="1" zoomScaleNormal="100" workbookViewId="0"/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18</v>
      </c>
      <c r="B1" s="1"/>
    </row>
    <row r="2" spans="1:4" ht="24.95" customHeight="1" x14ac:dyDescent="0.2">
      <c r="A2" s="7" t="s">
        <v>12</v>
      </c>
      <c r="B2" s="8" t="s">
        <v>13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27175</v>
      </c>
      <c r="C3" s="12">
        <f>GovByAssemblyDistrict1General[[#This Row],[Part of Suffolk County Vote Results]]</f>
        <v>27175</v>
      </c>
      <c r="D3" s="13">
        <f>SUM(C3,C7,C8,C9)</f>
        <v>29157</v>
      </c>
    </row>
    <row r="4" spans="1:4" x14ac:dyDescent="0.2">
      <c r="A4" s="2" t="s">
        <v>14</v>
      </c>
      <c r="B4" s="3">
        <v>19731</v>
      </c>
      <c r="C4" s="12">
        <f>GovByAssemblyDistrict1General[[#This Row],[Part of Suffolk County Vote Results]]</f>
        <v>19731</v>
      </c>
      <c r="D4" s="13">
        <f>SUM(C4,C5,C10)</f>
        <v>22170</v>
      </c>
    </row>
    <row r="5" spans="1:4" x14ac:dyDescent="0.2">
      <c r="A5" s="2" t="s">
        <v>15</v>
      </c>
      <c r="B5" s="3">
        <v>2263</v>
      </c>
      <c r="C5" s="12">
        <f>GovByAssemblyDistrict1General[[#This Row],[Part of Suffolk County Vote Results]]</f>
        <v>2263</v>
      </c>
      <c r="D5" s="14"/>
    </row>
    <row r="6" spans="1:4" x14ac:dyDescent="0.2">
      <c r="A6" s="2" t="s">
        <v>6</v>
      </c>
      <c r="B6" s="3">
        <v>497</v>
      </c>
      <c r="C6" s="12">
        <f>GovByAssemblyDistrict1General[[#This Row],[Part of Suffolk County Vote Results]]</f>
        <v>497</v>
      </c>
      <c r="D6" s="13">
        <f>GovByAssemblyDistrict1General[[#This Row],[Total Votes by Party]]</f>
        <v>497</v>
      </c>
    </row>
    <row r="7" spans="1:4" x14ac:dyDescent="0.2">
      <c r="A7" s="2" t="s">
        <v>7</v>
      </c>
      <c r="B7" s="3">
        <v>751</v>
      </c>
      <c r="C7" s="12">
        <f>GovByAssemblyDistrict1General[[#This Row],[Part of Suffolk County Vote Results]]</f>
        <v>751</v>
      </c>
      <c r="D7" s="14"/>
    </row>
    <row r="8" spans="1:4" x14ac:dyDescent="0.2">
      <c r="A8" s="2" t="s">
        <v>8</v>
      </c>
      <c r="B8" s="3">
        <v>890</v>
      </c>
      <c r="C8" s="12">
        <f>GovByAssemblyDistrict1General[[#This Row],[Part of Suffolk County Vote Results]]</f>
        <v>890</v>
      </c>
      <c r="D8" s="14"/>
    </row>
    <row r="9" spans="1:4" x14ac:dyDescent="0.2">
      <c r="A9" s="2" t="s">
        <v>9</v>
      </c>
      <c r="B9" s="3">
        <v>341</v>
      </c>
      <c r="C9" s="12">
        <f>GovByAssemblyDistrict1General[[#This Row],[Part of Suffolk County Vote Results]]</f>
        <v>341</v>
      </c>
      <c r="D9" s="14"/>
    </row>
    <row r="10" spans="1:4" x14ac:dyDescent="0.2">
      <c r="A10" s="2" t="s">
        <v>16</v>
      </c>
      <c r="B10" s="3">
        <v>176</v>
      </c>
      <c r="C10" s="12">
        <f>GovByAssemblyDistrict1General[[#This Row],[Part of Suffolk County Vote Results]]</f>
        <v>176</v>
      </c>
      <c r="D10" s="14"/>
    </row>
    <row r="11" spans="1:4" x14ac:dyDescent="0.2">
      <c r="A11" s="2" t="s">
        <v>10</v>
      </c>
      <c r="B11" s="3">
        <v>391</v>
      </c>
      <c r="C11" s="12">
        <f>GovByAssemblyDistrict1General[[#This Row],[Part of Suffolk County Vote Results]]</f>
        <v>391</v>
      </c>
      <c r="D11" s="13">
        <f>GovByAssemblyDistrict1General[[#This Row],[Total Votes by Party]]</f>
        <v>391</v>
      </c>
    </row>
    <row r="12" spans="1:4" x14ac:dyDescent="0.2">
      <c r="A12" s="4" t="s">
        <v>11</v>
      </c>
      <c r="B12" s="5">
        <v>232</v>
      </c>
      <c r="C12" s="12">
        <f>GovByAssemblyDistrict1General[[#This Row],[Part of Suffolk County Vote Results]]</f>
        <v>232</v>
      </c>
      <c r="D12" s="13">
        <f>GovByAssemblyDistrict1General[[#This Row],[Total Votes by Party]]</f>
        <v>232</v>
      </c>
    </row>
    <row r="13" spans="1:4" x14ac:dyDescent="0.2">
      <c r="A13" s="4" t="s">
        <v>0</v>
      </c>
      <c r="B13" s="5">
        <v>1080</v>
      </c>
      <c r="C13" s="12">
        <f>GovByAssemblyDistrict1General[[#This Row],[Part of Suffolk County Vote Results]]</f>
        <v>1080</v>
      </c>
      <c r="D13" s="14"/>
    </row>
    <row r="14" spans="1:4" x14ac:dyDescent="0.2">
      <c r="A14" s="4" t="s">
        <v>1</v>
      </c>
      <c r="B14" s="5">
        <v>42</v>
      </c>
      <c r="C14" s="12">
        <f>GovByAssemblyDistrict1General[[#This Row],[Part of Suffolk County Vote Results]]</f>
        <v>42</v>
      </c>
      <c r="D14" s="14"/>
    </row>
    <row r="15" spans="1:4" x14ac:dyDescent="0.2">
      <c r="A15" s="4" t="s">
        <v>2</v>
      </c>
      <c r="B15" s="5">
        <v>21</v>
      </c>
      <c r="C15" s="12">
        <f>GovByAssemblyDistrict1General[[#This Row],[Part of Suffolk County Vote Results]]</f>
        <v>21</v>
      </c>
      <c r="D15" s="14"/>
    </row>
    <row r="16" spans="1:4" hidden="1" x14ac:dyDescent="0.2">
      <c r="A16" s="4" t="s">
        <v>4</v>
      </c>
      <c r="B16" s="4"/>
      <c r="C16" s="6"/>
      <c r="D16" s="9"/>
    </row>
  </sheetData>
  <printOptions horizontalCentered="1"/>
  <pageMargins left="0" right="0" top="0.25" bottom="0.25" header="0.25" footer="0.25"/>
  <pageSetup paperSize="5" scale="80" orientation="landscape" r:id="rId1"/>
  <headerFooter alignWithMargins="0">
    <oddFooter>&amp;RPage &amp;P of &amp;N</oddFooter>
  </headerFooter>
  <rowBreaks count="31" manualBreakCount="31">
    <brk id="56" max="12" man="1"/>
    <brk id="103" max="12" man="1"/>
    <brk id="157" max="12" man="1"/>
    <brk id="211" max="12" man="1"/>
    <brk id="256" max="12" man="1"/>
    <brk id="310" max="12" man="1"/>
    <brk id="355" max="12" man="1"/>
    <brk id="400" max="12" man="1"/>
    <brk id="454" max="12" man="1"/>
    <brk id="499" max="12" man="1"/>
    <brk id="553" max="12" man="1"/>
    <brk id="600" max="12" man="1"/>
    <brk id="645" max="12" man="1"/>
    <brk id="690" max="12" man="1"/>
    <brk id="735" max="12" man="1"/>
    <brk id="780" max="12" man="1"/>
    <brk id="825" max="12" man="1"/>
    <brk id="874" max="12" man="1"/>
    <brk id="914" max="12" man="1"/>
    <brk id="957" max="12" man="1"/>
    <brk id="1000" max="12" man="1"/>
    <brk id="1044" max="12" man="1"/>
    <brk id="1091" max="12" man="1"/>
    <brk id="1141" max="12" man="1"/>
    <brk id="1189" max="12" man="1"/>
    <brk id="1234" max="12" man="1"/>
    <brk id="1273" max="12" man="1"/>
    <brk id="1319" max="12" man="1"/>
    <brk id="1367" max="12" man="1"/>
    <brk id="1417" max="12" man="1"/>
    <brk id="1450" max="16383" man="1"/>
  </rowBreaks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03B2B-311A-4FDA-AF9D-BBB6F1400A9D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27</v>
      </c>
    </row>
    <row r="2" spans="1:4" ht="24.95" customHeight="1" x14ac:dyDescent="0.2">
      <c r="A2" s="7" t="s">
        <v>12</v>
      </c>
      <c r="B2" s="8" t="s">
        <v>13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26392</v>
      </c>
      <c r="C3" s="12">
        <f>GovByAssemblyDistrict10General[[#This Row],[Part of Suffolk County Vote Results]]</f>
        <v>26392</v>
      </c>
      <c r="D3" s="13">
        <f>SUM(C3,C7,C8,C9)</f>
        <v>27781</v>
      </c>
    </row>
    <row r="4" spans="1:4" x14ac:dyDescent="0.2">
      <c r="A4" s="2" t="s">
        <v>14</v>
      </c>
      <c r="B4" s="3">
        <v>17639</v>
      </c>
      <c r="C4" s="12">
        <f>GovByAssemblyDistrict10General[[#This Row],[Part of Suffolk County Vote Results]]</f>
        <v>17639</v>
      </c>
      <c r="D4" s="13">
        <f>SUM(C4,C5,C10)</f>
        <v>19703</v>
      </c>
    </row>
    <row r="5" spans="1:4" x14ac:dyDescent="0.2">
      <c r="A5" s="2" t="s">
        <v>15</v>
      </c>
      <c r="B5" s="3">
        <v>1900</v>
      </c>
      <c r="C5" s="12">
        <f>GovByAssemblyDistrict10General[[#This Row],[Part of Suffolk County Vote Results]]</f>
        <v>1900</v>
      </c>
      <c r="D5" s="14"/>
    </row>
    <row r="6" spans="1:4" x14ac:dyDescent="0.2">
      <c r="A6" s="2" t="s">
        <v>6</v>
      </c>
      <c r="B6" s="3">
        <v>465</v>
      </c>
      <c r="C6" s="12">
        <f>GovByAssemblyDistrict10General[[#This Row],[Part of Suffolk County Vote Results]]</f>
        <v>465</v>
      </c>
      <c r="D6" s="13">
        <f>GovByAssemblyDistrict10General[[#This Row],[Total Votes by Party]]</f>
        <v>465</v>
      </c>
    </row>
    <row r="7" spans="1:4" x14ac:dyDescent="0.2">
      <c r="A7" s="2" t="s">
        <v>7</v>
      </c>
      <c r="B7" s="3">
        <v>527</v>
      </c>
      <c r="C7" s="12">
        <f>GovByAssemblyDistrict10General[[#This Row],[Part of Suffolk County Vote Results]]</f>
        <v>527</v>
      </c>
      <c r="D7" s="14"/>
    </row>
    <row r="8" spans="1:4" x14ac:dyDescent="0.2">
      <c r="A8" s="2" t="s">
        <v>8</v>
      </c>
      <c r="B8" s="3">
        <v>553</v>
      </c>
      <c r="C8" s="12">
        <f>GovByAssemblyDistrict10General[[#This Row],[Part of Suffolk County Vote Results]]</f>
        <v>553</v>
      </c>
      <c r="D8" s="14"/>
    </row>
    <row r="9" spans="1:4" x14ac:dyDescent="0.2">
      <c r="A9" s="2" t="s">
        <v>9</v>
      </c>
      <c r="B9" s="3">
        <v>309</v>
      </c>
      <c r="C9" s="12">
        <f>GovByAssemblyDistrict10General[[#This Row],[Part of Suffolk County Vote Results]]</f>
        <v>309</v>
      </c>
      <c r="D9" s="14"/>
    </row>
    <row r="10" spans="1:4" x14ac:dyDescent="0.2">
      <c r="A10" s="2" t="s">
        <v>16</v>
      </c>
      <c r="B10" s="3">
        <v>164</v>
      </c>
      <c r="C10" s="12">
        <f>GovByAssemblyDistrict10General[[#This Row],[Part of Suffolk County Vote Results]]</f>
        <v>164</v>
      </c>
      <c r="D10" s="14"/>
    </row>
    <row r="11" spans="1:4" x14ac:dyDescent="0.2">
      <c r="A11" s="2" t="s">
        <v>10</v>
      </c>
      <c r="B11" s="3">
        <v>322</v>
      </c>
      <c r="C11" s="12">
        <f>GovByAssemblyDistrict10General[[#This Row],[Part of Suffolk County Vote Results]]</f>
        <v>322</v>
      </c>
      <c r="D11" s="13">
        <f>GovByAssemblyDistrict10General[[#This Row],[Total Votes by Party]]</f>
        <v>322</v>
      </c>
    </row>
    <row r="12" spans="1:4" x14ac:dyDescent="0.2">
      <c r="A12" s="4" t="s">
        <v>11</v>
      </c>
      <c r="B12" s="5">
        <v>256</v>
      </c>
      <c r="C12" s="12">
        <f>GovByAssemblyDistrict10General[[#This Row],[Part of Suffolk County Vote Results]]</f>
        <v>256</v>
      </c>
      <c r="D12" s="13">
        <f>GovByAssemblyDistrict10General[[#This Row],[Total Votes by Party]]</f>
        <v>256</v>
      </c>
    </row>
    <row r="13" spans="1:4" x14ac:dyDescent="0.2">
      <c r="A13" s="4" t="s">
        <v>0</v>
      </c>
      <c r="B13" s="5">
        <v>515</v>
      </c>
      <c r="C13" s="12">
        <f>GovByAssemblyDistrict10General[[#This Row],[Part of Suffolk County Vote Results]]</f>
        <v>515</v>
      </c>
      <c r="D13" s="14"/>
    </row>
    <row r="14" spans="1:4" x14ac:dyDescent="0.2">
      <c r="A14" s="4" t="s">
        <v>1</v>
      </c>
      <c r="B14" s="5">
        <v>41</v>
      </c>
      <c r="C14" s="12">
        <f>GovByAssemblyDistrict10General[[#This Row],[Part of Suffolk County Vote Results]]</f>
        <v>41</v>
      </c>
      <c r="D14" s="14"/>
    </row>
    <row r="15" spans="1:4" x14ac:dyDescent="0.2">
      <c r="A15" s="4" t="s">
        <v>2</v>
      </c>
      <c r="B15" s="5">
        <v>13</v>
      </c>
      <c r="C15" s="12">
        <f>GovByAssemblyDistrict10General[[#This Row],[Part of Suffolk County Vote Results]]</f>
        <v>13</v>
      </c>
      <c r="D15" s="14"/>
    </row>
    <row r="16" spans="1:4" hidden="1" x14ac:dyDescent="0.2">
      <c r="A16" s="4" t="s">
        <v>4</v>
      </c>
      <c r="B16" s="6">
        <f>SUBTOTAL(109,GovByAssemblyDistrict10General[Total Votes by Candidate])</f>
        <v>48527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8E7FA-AAF1-447E-940E-6B20B9F92CE8}">
  <dimension ref="A1:E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24.75" customHeight="1" x14ac:dyDescent="0.2">
      <c r="A1" s="1" t="s">
        <v>126</v>
      </c>
    </row>
    <row r="2" spans="1:5" ht="25.5" x14ac:dyDescent="0.2">
      <c r="A2" s="7" t="s">
        <v>12</v>
      </c>
      <c r="B2" s="8" t="s">
        <v>124</v>
      </c>
      <c r="C2" s="8" t="s">
        <v>127</v>
      </c>
      <c r="D2" s="10" t="s">
        <v>228</v>
      </c>
      <c r="E2" s="11" t="s">
        <v>5</v>
      </c>
    </row>
    <row r="3" spans="1:5" x14ac:dyDescent="0.2">
      <c r="A3" s="2" t="s">
        <v>3</v>
      </c>
      <c r="B3" s="3">
        <v>9212</v>
      </c>
      <c r="C3" s="3">
        <v>9302</v>
      </c>
      <c r="D3" s="12">
        <f>SUM(GovByAssemblyDistrict100General[[#This Row],[Part of Orange County Vote Results]:[Part of Sullivan County Vote Results]])</f>
        <v>18514</v>
      </c>
      <c r="E3" s="13">
        <f>SUM(D3,D7,D8,D9)</f>
        <v>19651</v>
      </c>
    </row>
    <row r="4" spans="1:5" x14ac:dyDescent="0.2">
      <c r="A4" s="2" t="s">
        <v>14</v>
      </c>
      <c r="B4" s="3">
        <v>6153</v>
      </c>
      <c r="C4" s="3">
        <v>10590</v>
      </c>
      <c r="D4" s="12">
        <f>SUM(GovByAssemblyDistrict100General[[#This Row],[Part of Orange County Vote Results]:[Part of Sullivan County Vote Results]])</f>
        <v>16743</v>
      </c>
      <c r="E4" s="13">
        <f>SUM(D4,D5,D10)</f>
        <v>19042</v>
      </c>
    </row>
    <row r="5" spans="1:5" x14ac:dyDescent="0.2">
      <c r="A5" s="2" t="s">
        <v>15</v>
      </c>
      <c r="B5" s="3">
        <v>768</v>
      </c>
      <c r="C5" s="3">
        <v>1242</v>
      </c>
      <c r="D5" s="12">
        <f>SUM(GovByAssemblyDistrict100General[[#This Row],[Part of Orange County Vote Results]:[Part of Sullivan County Vote Results]])</f>
        <v>2010</v>
      </c>
      <c r="E5" s="14"/>
    </row>
    <row r="6" spans="1:5" x14ac:dyDescent="0.2">
      <c r="A6" s="2" t="s">
        <v>6</v>
      </c>
      <c r="B6" s="3">
        <v>267</v>
      </c>
      <c r="C6" s="3">
        <v>356</v>
      </c>
      <c r="D6" s="12">
        <f>SUM(GovByAssemblyDistrict100General[[#This Row],[Part of Orange County Vote Results]:[Part of Sullivan County Vote Results]])</f>
        <v>623</v>
      </c>
      <c r="E6" s="13">
        <f>GovByAssemblyDistrict100General[[#This Row],[Total Votes by Party]]</f>
        <v>623</v>
      </c>
    </row>
    <row r="7" spans="1:5" x14ac:dyDescent="0.2">
      <c r="A7" s="2" t="s">
        <v>7</v>
      </c>
      <c r="B7" s="3">
        <v>173</v>
      </c>
      <c r="C7" s="3">
        <v>300</v>
      </c>
      <c r="D7" s="12">
        <f>SUM(GovByAssemblyDistrict100General[[#This Row],[Part of Orange County Vote Results]:[Part of Sullivan County Vote Results]])</f>
        <v>473</v>
      </c>
      <c r="E7" s="14"/>
    </row>
    <row r="8" spans="1:5" x14ac:dyDescent="0.2">
      <c r="A8" s="2" t="s">
        <v>8</v>
      </c>
      <c r="B8" s="3">
        <v>164</v>
      </c>
      <c r="C8" s="3">
        <v>294</v>
      </c>
      <c r="D8" s="12">
        <f>SUM(GovByAssemblyDistrict100General[[#This Row],[Part of Orange County Vote Results]:[Part of Sullivan County Vote Results]])</f>
        <v>458</v>
      </c>
      <c r="E8" s="14"/>
    </row>
    <row r="9" spans="1:5" x14ac:dyDescent="0.2">
      <c r="A9" s="2" t="s">
        <v>9</v>
      </c>
      <c r="B9" s="3">
        <v>65</v>
      </c>
      <c r="C9" s="3">
        <v>141</v>
      </c>
      <c r="D9" s="12">
        <f>SUM(GovByAssemblyDistrict100General[[#This Row],[Part of Orange County Vote Results]:[Part of Sullivan County Vote Results]])</f>
        <v>206</v>
      </c>
      <c r="E9" s="14"/>
    </row>
    <row r="10" spans="1:5" x14ac:dyDescent="0.2">
      <c r="A10" s="2" t="s">
        <v>16</v>
      </c>
      <c r="B10" s="3">
        <v>105</v>
      </c>
      <c r="C10" s="3">
        <v>184</v>
      </c>
      <c r="D10" s="12">
        <f>SUM(GovByAssemblyDistrict100General[[#This Row],[Part of Orange County Vote Results]:[Part of Sullivan County Vote Results]])</f>
        <v>289</v>
      </c>
      <c r="E10" s="14"/>
    </row>
    <row r="11" spans="1:5" x14ac:dyDescent="0.2">
      <c r="A11" s="2" t="s">
        <v>10</v>
      </c>
      <c r="B11" s="3">
        <v>238</v>
      </c>
      <c r="C11" s="3">
        <v>449</v>
      </c>
      <c r="D11" s="12">
        <f>SUM(GovByAssemblyDistrict100General[[#This Row],[Part of Orange County Vote Results]:[Part of Sullivan County Vote Results]])</f>
        <v>687</v>
      </c>
      <c r="E11" s="13">
        <f>GovByAssemblyDistrict100General[[#This Row],[Total Votes by Party]]</f>
        <v>687</v>
      </c>
    </row>
    <row r="12" spans="1:5" x14ac:dyDescent="0.2">
      <c r="A12" s="4" t="s">
        <v>11</v>
      </c>
      <c r="B12" s="3">
        <v>126</v>
      </c>
      <c r="C12" s="3">
        <v>186</v>
      </c>
      <c r="D12" s="12">
        <f>SUM(GovByAssemblyDistrict100General[[#This Row],[Part of Orange County Vote Results]:[Part of Sullivan County Vote Results]])</f>
        <v>312</v>
      </c>
      <c r="E12" s="13">
        <f>GovByAssemblyDistrict100General[[#This Row],[Total Votes by Party]]</f>
        <v>312</v>
      </c>
    </row>
    <row r="13" spans="1:5" x14ac:dyDescent="0.2">
      <c r="A13" s="4" t="s">
        <v>0</v>
      </c>
      <c r="B13" s="3">
        <v>437</v>
      </c>
      <c r="C13" s="3">
        <v>941</v>
      </c>
      <c r="D13" s="12">
        <f>SUM(GovByAssemblyDistrict100General[[#This Row],[Part of Orange County Vote Results]:[Part of Sullivan County Vote Results]])</f>
        <v>1378</v>
      </c>
      <c r="E13" s="14"/>
    </row>
    <row r="14" spans="1:5" x14ac:dyDescent="0.2">
      <c r="A14" s="4" t="s">
        <v>1</v>
      </c>
      <c r="B14" s="3">
        <v>0</v>
      </c>
      <c r="C14" s="3">
        <v>10</v>
      </c>
      <c r="D14" s="12">
        <f>SUM(GovByAssemblyDistrict100General[[#This Row],[Part of Orange County Vote Results]:[Part of Sullivan County Vote Results]])</f>
        <v>10</v>
      </c>
      <c r="E14" s="14"/>
    </row>
    <row r="15" spans="1:5" x14ac:dyDescent="0.2">
      <c r="A15" s="4" t="s">
        <v>2</v>
      </c>
      <c r="B15" s="5">
        <v>14</v>
      </c>
      <c r="C15" s="5">
        <v>19</v>
      </c>
      <c r="D15" s="12">
        <f>SUM(GovByAssemblyDistrict100General[[#This Row],[Part of Orange County Vote Results]:[Part of Sullivan County Vote Results]])</f>
        <v>33</v>
      </c>
      <c r="E15" s="14"/>
    </row>
    <row r="16" spans="1:5" hidden="1" x14ac:dyDescent="0.2">
      <c r="A16" s="4" t="s">
        <v>4</v>
      </c>
      <c r="B16" s="6">
        <f>SUBTOTAL(109,GovByAssemblyDistrict100General[Part of Orange County Vote Results])</f>
        <v>17722</v>
      </c>
      <c r="C16" s="6">
        <f>SUBTOTAL(109,GovByAssemblyDistrict100General[Part of Sullivan County Vote Results])</f>
        <v>24014</v>
      </c>
      <c r="D16" s="6"/>
      <c r="E16" s="9"/>
    </row>
  </sheetData>
  <pageMargins left="0.7" right="0.7" top="0.75" bottom="0.75" header="0.3" footer="0.3"/>
  <tableParts count="1">
    <tablePart r:id="rId1"/>
  </tableParts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1BA12-E68B-46FC-9786-FDB3FD9823B0}">
  <dimension ref="A1:J16"/>
  <sheetViews>
    <sheetView workbookViewId="0">
      <selection activeCell="D19" sqref="D19"/>
    </sheetView>
  </sheetViews>
  <sheetFormatPr defaultRowHeight="12.75" x14ac:dyDescent="0.2"/>
  <cols>
    <col min="1" max="1" width="25.5703125" customWidth="1"/>
    <col min="2" max="10" width="20.5703125" customWidth="1"/>
    <col min="11" max="12" width="23.5703125" customWidth="1"/>
  </cols>
  <sheetData>
    <row r="1" spans="1:10" ht="24.75" customHeight="1" x14ac:dyDescent="0.2">
      <c r="A1" s="1" t="s">
        <v>128</v>
      </c>
    </row>
    <row r="2" spans="1:10" ht="25.5" x14ac:dyDescent="0.2">
      <c r="A2" s="7" t="s">
        <v>12</v>
      </c>
      <c r="B2" s="8" t="s">
        <v>129</v>
      </c>
      <c r="C2" s="8" t="s">
        <v>130</v>
      </c>
      <c r="D2" s="8" t="s">
        <v>131</v>
      </c>
      <c r="E2" s="8" t="s">
        <v>124</v>
      </c>
      <c r="F2" s="8" t="s">
        <v>132</v>
      </c>
      <c r="G2" s="8" t="s">
        <v>127</v>
      </c>
      <c r="H2" s="8" t="s">
        <v>133</v>
      </c>
      <c r="I2" s="10" t="s">
        <v>228</v>
      </c>
      <c r="J2" s="11" t="s">
        <v>5</v>
      </c>
    </row>
    <row r="3" spans="1:10" x14ac:dyDescent="0.2">
      <c r="A3" s="2" t="s">
        <v>3</v>
      </c>
      <c r="B3" s="3">
        <v>1652</v>
      </c>
      <c r="C3" s="3">
        <v>2586</v>
      </c>
      <c r="D3" s="3">
        <v>4090</v>
      </c>
      <c r="E3" s="3">
        <v>3871</v>
      </c>
      <c r="F3" s="3">
        <v>788</v>
      </c>
      <c r="G3" s="3">
        <v>422</v>
      </c>
      <c r="H3" s="3">
        <v>3111</v>
      </c>
      <c r="I3" s="12">
        <f>SUM(GovByAssemblyDistrict101General[[#This Row],[Part of Delaware County Vote Results]:[Part of Ulster County Vote Results]])</f>
        <v>16520</v>
      </c>
      <c r="J3" s="13">
        <f>SUM(I3,I7,I8,I9)</f>
        <v>17688</v>
      </c>
    </row>
    <row r="4" spans="1:10" x14ac:dyDescent="0.2">
      <c r="A4" s="2" t="s">
        <v>14</v>
      </c>
      <c r="B4" s="3">
        <v>2198</v>
      </c>
      <c r="C4" s="3">
        <v>6306</v>
      </c>
      <c r="D4" s="3">
        <v>5938</v>
      </c>
      <c r="E4" s="3">
        <v>6015</v>
      </c>
      <c r="F4" s="3">
        <v>1341</v>
      </c>
      <c r="G4" s="3">
        <v>852</v>
      </c>
      <c r="H4" s="3">
        <v>4119</v>
      </c>
      <c r="I4" s="12">
        <f>SUM(GovByAssemblyDistrict101General[[#This Row],[Part of Delaware County Vote Results]:[Part of Ulster County Vote Results]])</f>
        <v>26769</v>
      </c>
      <c r="J4" s="13">
        <f>SUM(I4,I5,I10)</f>
        <v>30100</v>
      </c>
    </row>
    <row r="5" spans="1:10" x14ac:dyDescent="0.2">
      <c r="A5" s="2" t="s">
        <v>15</v>
      </c>
      <c r="B5" s="3">
        <v>220</v>
      </c>
      <c r="C5" s="3">
        <v>621</v>
      </c>
      <c r="D5" s="3">
        <v>636</v>
      </c>
      <c r="E5" s="3">
        <v>773</v>
      </c>
      <c r="F5" s="3">
        <v>127</v>
      </c>
      <c r="G5" s="3">
        <v>111</v>
      </c>
      <c r="H5" s="3">
        <v>527</v>
      </c>
      <c r="I5" s="12">
        <f>SUM(GovByAssemblyDistrict101General[[#This Row],[Part of Delaware County Vote Results]:[Part of Ulster County Vote Results]])</f>
        <v>3015</v>
      </c>
      <c r="J5" s="14"/>
    </row>
    <row r="6" spans="1:10" x14ac:dyDescent="0.2">
      <c r="A6" s="2" t="s">
        <v>6</v>
      </c>
      <c r="B6" s="3">
        <v>97</v>
      </c>
      <c r="C6" s="3">
        <v>146</v>
      </c>
      <c r="D6" s="3">
        <v>176</v>
      </c>
      <c r="E6" s="3">
        <v>188</v>
      </c>
      <c r="F6" s="3">
        <v>55</v>
      </c>
      <c r="G6" s="3">
        <v>23</v>
      </c>
      <c r="H6" s="3">
        <v>158</v>
      </c>
      <c r="I6" s="12">
        <f>SUM(GovByAssemblyDistrict101General[[#This Row],[Part of Delaware County Vote Results]:[Part of Ulster County Vote Results]])</f>
        <v>843</v>
      </c>
      <c r="J6" s="13">
        <f>GovByAssemblyDistrict101General[[#This Row],[Total Votes by Party]]</f>
        <v>843</v>
      </c>
    </row>
    <row r="7" spans="1:10" x14ac:dyDescent="0.2">
      <c r="A7" s="2" t="s">
        <v>7</v>
      </c>
      <c r="B7" s="3">
        <v>66</v>
      </c>
      <c r="C7" s="3">
        <v>46</v>
      </c>
      <c r="D7" s="3">
        <v>100</v>
      </c>
      <c r="E7" s="3">
        <v>105</v>
      </c>
      <c r="F7" s="3">
        <v>29</v>
      </c>
      <c r="G7" s="3">
        <v>15</v>
      </c>
      <c r="H7" s="3">
        <v>119</v>
      </c>
      <c r="I7" s="12">
        <f>SUM(GovByAssemblyDistrict101General[[#This Row],[Part of Delaware County Vote Results]:[Part of Ulster County Vote Results]])</f>
        <v>480</v>
      </c>
      <c r="J7" s="14"/>
    </row>
    <row r="8" spans="1:10" x14ac:dyDescent="0.2">
      <c r="A8" s="2" t="s">
        <v>8</v>
      </c>
      <c r="B8" s="3">
        <v>29</v>
      </c>
      <c r="C8" s="3">
        <v>67</v>
      </c>
      <c r="D8" s="3">
        <v>168</v>
      </c>
      <c r="E8" s="3">
        <v>98</v>
      </c>
      <c r="F8" s="3">
        <v>28</v>
      </c>
      <c r="G8" s="3">
        <v>9</v>
      </c>
      <c r="H8" s="3">
        <v>93</v>
      </c>
      <c r="I8" s="12">
        <f>SUM(GovByAssemblyDistrict101General[[#This Row],[Part of Delaware County Vote Results]:[Part of Ulster County Vote Results]])</f>
        <v>492</v>
      </c>
      <c r="J8" s="14"/>
    </row>
    <row r="9" spans="1:10" x14ac:dyDescent="0.2">
      <c r="A9" s="2" t="s">
        <v>9</v>
      </c>
      <c r="B9" s="3">
        <v>35</v>
      </c>
      <c r="C9" s="3">
        <v>31</v>
      </c>
      <c r="D9" s="3">
        <v>46</v>
      </c>
      <c r="E9" s="3">
        <v>41</v>
      </c>
      <c r="F9" s="3">
        <v>14</v>
      </c>
      <c r="G9" s="3">
        <v>3</v>
      </c>
      <c r="H9" s="3">
        <v>26</v>
      </c>
      <c r="I9" s="12">
        <f>SUM(GovByAssemblyDistrict101General[[#This Row],[Part of Delaware County Vote Results]:[Part of Ulster County Vote Results]])</f>
        <v>196</v>
      </c>
      <c r="J9" s="14"/>
    </row>
    <row r="10" spans="1:10" x14ac:dyDescent="0.2">
      <c r="A10" s="2" t="s">
        <v>16</v>
      </c>
      <c r="B10" s="3">
        <v>19</v>
      </c>
      <c r="C10" s="3">
        <v>72</v>
      </c>
      <c r="D10" s="3">
        <v>52</v>
      </c>
      <c r="E10" s="3">
        <v>83</v>
      </c>
      <c r="F10" s="3">
        <v>15</v>
      </c>
      <c r="G10" s="3">
        <v>12</v>
      </c>
      <c r="H10" s="3">
        <v>63</v>
      </c>
      <c r="I10" s="12">
        <f>SUM(GovByAssemblyDistrict101General[[#This Row],[Part of Delaware County Vote Results]:[Part of Ulster County Vote Results]])</f>
        <v>316</v>
      </c>
      <c r="J10" s="14"/>
    </row>
    <row r="11" spans="1:10" x14ac:dyDescent="0.2">
      <c r="A11" s="2" t="s">
        <v>10</v>
      </c>
      <c r="B11" s="3">
        <v>279</v>
      </c>
      <c r="C11" s="3">
        <v>373</v>
      </c>
      <c r="D11" s="3">
        <v>347</v>
      </c>
      <c r="E11" s="3">
        <v>232</v>
      </c>
      <c r="F11" s="3">
        <v>82</v>
      </c>
      <c r="G11" s="3">
        <v>28</v>
      </c>
      <c r="H11" s="3">
        <v>206</v>
      </c>
      <c r="I11" s="12">
        <f>SUM(GovByAssemblyDistrict101General[[#This Row],[Part of Delaware County Vote Results]:[Part of Ulster County Vote Results]])</f>
        <v>1547</v>
      </c>
      <c r="J11" s="13">
        <f>GovByAssemblyDistrict101General[[#This Row],[Total Votes by Party]]</f>
        <v>1547</v>
      </c>
    </row>
    <row r="12" spans="1:10" x14ac:dyDescent="0.2">
      <c r="A12" s="4" t="s">
        <v>11</v>
      </c>
      <c r="B12" s="3">
        <v>45</v>
      </c>
      <c r="C12" s="3">
        <v>143</v>
      </c>
      <c r="D12" s="3">
        <v>235</v>
      </c>
      <c r="E12" s="3">
        <v>85</v>
      </c>
      <c r="F12" s="3">
        <v>34</v>
      </c>
      <c r="G12" s="3">
        <v>16</v>
      </c>
      <c r="H12" s="3">
        <v>43</v>
      </c>
      <c r="I12" s="12">
        <f>SUM(GovByAssemblyDistrict101General[[#This Row],[Part of Delaware County Vote Results]:[Part of Ulster County Vote Results]])</f>
        <v>601</v>
      </c>
      <c r="J12" s="13">
        <f>GovByAssemblyDistrict101General[[#This Row],[Total Votes by Party]]</f>
        <v>601</v>
      </c>
    </row>
    <row r="13" spans="1:10" x14ac:dyDescent="0.2">
      <c r="A13" s="4" t="s">
        <v>0</v>
      </c>
      <c r="B13" s="3">
        <v>69</v>
      </c>
      <c r="C13" s="3">
        <v>374</v>
      </c>
      <c r="D13" s="3">
        <v>423</v>
      </c>
      <c r="E13" s="3">
        <v>235</v>
      </c>
      <c r="F13" s="3">
        <v>122</v>
      </c>
      <c r="G13" s="3">
        <v>27</v>
      </c>
      <c r="H13" s="3">
        <v>0</v>
      </c>
      <c r="I13" s="12">
        <f>SUM(GovByAssemblyDistrict101General[[#This Row],[Part of Delaware County Vote Results]:[Part of Ulster County Vote Results]])</f>
        <v>1250</v>
      </c>
      <c r="J13" s="14"/>
    </row>
    <row r="14" spans="1:10" x14ac:dyDescent="0.2">
      <c r="A14" s="4" t="s">
        <v>1</v>
      </c>
      <c r="B14" s="3">
        <v>0</v>
      </c>
      <c r="C14" s="3">
        <v>10</v>
      </c>
      <c r="D14" s="3">
        <v>0</v>
      </c>
      <c r="E14" s="3">
        <v>0</v>
      </c>
      <c r="F14" s="3">
        <v>9</v>
      </c>
      <c r="G14" s="3">
        <v>0</v>
      </c>
      <c r="H14" s="3">
        <v>0</v>
      </c>
      <c r="I14" s="12">
        <f>SUM(GovByAssemblyDistrict101General[[#This Row],[Part of Delaware County Vote Results]:[Part of Ulster County Vote Results]])</f>
        <v>19</v>
      </c>
      <c r="J14" s="14"/>
    </row>
    <row r="15" spans="1:10" x14ac:dyDescent="0.2">
      <c r="A15" s="4" t="s">
        <v>2</v>
      </c>
      <c r="B15" s="5">
        <v>4</v>
      </c>
      <c r="C15" s="5">
        <v>7</v>
      </c>
      <c r="D15" s="5">
        <v>5</v>
      </c>
      <c r="E15" s="5">
        <v>6</v>
      </c>
      <c r="F15" s="5">
        <v>1</v>
      </c>
      <c r="G15" s="5">
        <v>1</v>
      </c>
      <c r="H15" s="5">
        <v>0</v>
      </c>
      <c r="I15" s="12">
        <f>SUM(GovByAssemblyDistrict101General[[#This Row],[Part of Delaware County Vote Results]:[Part of Ulster County Vote Results]])</f>
        <v>24</v>
      </c>
      <c r="J15" s="14"/>
    </row>
    <row r="16" spans="1:10" hidden="1" x14ac:dyDescent="0.2">
      <c r="A16" s="4" t="s">
        <v>4</v>
      </c>
      <c r="B16" s="6">
        <f>SUBTOTAL(109,GovByAssemblyDistrict101General[Part of Delaware County Vote Results])</f>
        <v>4713</v>
      </c>
      <c r="C16" s="6"/>
      <c r="D16" s="6"/>
      <c r="E16" s="6"/>
      <c r="F16" s="6"/>
      <c r="G16" s="6"/>
      <c r="H16" s="6">
        <f>SUBTOTAL(109,GovByAssemblyDistrict101General[Part of Ulster County Vote Results])</f>
        <v>8465</v>
      </c>
      <c r="I16" s="6"/>
      <c r="J16" s="9"/>
    </row>
  </sheetData>
  <pageMargins left="0.7" right="0.7" top="0.75" bottom="0.75" header="0.3" footer="0.3"/>
  <tableParts count="1">
    <tablePart r:id="rId1"/>
  </tableParts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FE38D-17CD-4AE8-AFF8-5E9AC4B9798E}">
  <dimension ref="A1:J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10" width="20.5703125" customWidth="1"/>
    <col min="11" max="12" width="23.5703125" customWidth="1"/>
  </cols>
  <sheetData>
    <row r="1" spans="1:10" ht="24.75" customHeight="1" x14ac:dyDescent="0.2">
      <c r="A1" s="1" t="s">
        <v>134</v>
      </c>
    </row>
    <row r="2" spans="1:10" ht="25.5" x14ac:dyDescent="0.2">
      <c r="A2" s="7" t="s">
        <v>12</v>
      </c>
      <c r="B2" s="8" t="s">
        <v>135</v>
      </c>
      <c r="C2" s="8" t="s">
        <v>136</v>
      </c>
      <c r="D2" s="8" t="s">
        <v>137</v>
      </c>
      <c r="E2" s="8" t="s">
        <v>138</v>
      </c>
      <c r="F2" s="8" t="s">
        <v>129</v>
      </c>
      <c r="G2" s="8" t="s">
        <v>132</v>
      </c>
      <c r="H2" s="8" t="s">
        <v>133</v>
      </c>
      <c r="I2" s="10" t="s">
        <v>228</v>
      </c>
      <c r="J2" s="11" t="s">
        <v>5</v>
      </c>
    </row>
    <row r="3" spans="1:10" x14ac:dyDescent="0.2">
      <c r="A3" s="2" t="s">
        <v>3</v>
      </c>
      <c r="B3" s="3">
        <v>5557</v>
      </c>
      <c r="C3" s="3">
        <v>2817</v>
      </c>
      <c r="D3" s="3">
        <v>1393</v>
      </c>
      <c r="E3" s="3">
        <v>644</v>
      </c>
      <c r="F3" s="3">
        <v>1522</v>
      </c>
      <c r="G3" s="3">
        <v>525</v>
      </c>
      <c r="H3" s="3">
        <v>3662</v>
      </c>
      <c r="I3" s="12">
        <f>SUM(GovByAssemblyDistrict102General[[#This Row],[Greene County Vote Results]:[Part of Ulster County Vote Results]])</f>
        <v>16120</v>
      </c>
      <c r="J3" s="13">
        <f>SUM(I3,I7,I8,I9)</f>
        <v>17811</v>
      </c>
    </row>
    <row r="4" spans="1:10" x14ac:dyDescent="0.2">
      <c r="A4" s="2" t="s">
        <v>14</v>
      </c>
      <c r="B4" s="3">
        <v>10337</v>
      </c>
      <c r="C4" s="3">
        <v>6906</v>
      </c>
      <c r="D4" s="3">
        <v>2581</v>
      </c>
      <c r="E4" s="3">
        <v>980</v>
      </c>
      <c r="F4" s="3">
        <v>2292</v>
      </c>
      <c r="G4" s="3">
        <v>969</v>
      </c>
      <c r="H4" s="3">
        <v>3460</v>
      </c>
      <c r="I4" s="12">
        <f>SUM(GovByAssemblyDistrict102General[[#This Row],[Greene County Vote Results]:[Part of Ulster County Vote Results]])</f>
        <v>27525</v>
      </c>
      <c r="J4" s="13">
        <f>SUM(I4,I5,I10)</f>
        <v>32651</v>
      </c>
    </row>
    <row r="5" spans="1:10" x14ac:dyDescent="0.2">
      <c r="A5" s="2" t="s">
        <v>15</v>
      </c>
      <c r="B5" s="3">
        <v>1602</v>
      </c>
      <c r="C5" s="3">
        <v>1178</v>
      </c>
      <c r="D5" s="3">
        <v>651</v>
      </c>
      <c r="E5" s="3">
        <v>200</v>
      </c>
      <c r="F5" s="3">
        <v>250</v>
      </c>
      <c r="G5" s="3">
        <v>121</v>
      </c>
      <c r="H5" s="3">
        <v>641</v>
      </c>
      <c r="I5" s="12">
        <f>SUM(GovByAssemblyDistrict102General[[#This Row],[Greene County Vote Results]:[Part of Ulster County Vote Results]])</f>
        <v>4643</v>
      </c>
      <c r="J5" s="14"/>
    </row>
    <row r="6" spans="1:10" x14ac:dyDescent="0.2">
      <c r="A6" s="2" t="s">
        <v>6</v>
      </c>
      <c r="B6" s="3">
        <v>386</v>
      </c>
      <c r="C6" s="3">
        <v>214</v>
      </c>
      <c r="D6" s="3">
        <v>129</v>
      </c>
      <c r="E6" s="3">
        <v>38</v>
      </c>
      <c r="F6" s="3">
        <v>91</v>
      </c>
      <c r="G6" s="3">
        <v>30</v>
      </c>
      <c r="H6" s="3">
        <v>172</v>
      </c>
      <c r="I6" s="12">
        <f>SUM(GovByAssemblyDistrict102General[[#This Row],[Greene County Vote Results]:[Part of Ulster County Vote Results]])</f>
        <v>1060</v>
      </c>
      <c r="J6" s="13">
        <f>GovByAssemblyDistrict102General[[#This Row],[Total Votes by Party]]</f>
        <v>1060</v>
      </c>
    </row>
    <row r="7" spans="1:10" x14ac:dyDescent="0.2">
      <c r="A7" s="2" t="s">
        <v>7</v>
      </c>
      <c r="B7" s="3">
        <v>270</v>
      </c>
      <c r="C7" s="3">
        <v>116</v>
      </c>
      <c r="D7" s="3">
        <v>71</v>
      </c>
      <c r="E7" s="3">
        <v>42</v>
      </c>
      <c r="F7" s="3">
        <v>62</v>
      </c>
      <c r="G7" s="3">
        <v>17</v>
      </c>
      <c r="H7" s="3">
        <v>258</v>
      </c>
      <c r="I7" s="12">
        <f>SUM(GovByAssemblyDistrict102General[[#This Row],[Greene County Vote Results]:[Part of Ulster County Vote Results]])</f>
        <v>836</v>
      </c>
      <c r="J7" s="14"/>
    </row>
    <row r="8" spans="1:10" x14ac:dyDescent="0.2">
      <c r="A8" s="2" t="s">
        <v>8</v>
      </c>
      <c r="B8" s="3">
        <v>170</v>
      </c>
      <c r="C8" s="3">
        <v>114</v>
      </c>
      <c r="D8" s="3">
        <v>54</v>
      </c>
      <c r="E8" s="3">
        <v>27</v>
      </c>
      <c r="F8" s="3">
        <v>42</v>
      </c>
      <c r="G8" s="3">
        <v>18</v>
      </c>
      <c r="H8" s="3">
        <v>125</v>
      </c>
      <c r="I8" s="12">
        <f>SUM(GovByAssemblyDistrict102General[[#This Row],[Greene County Vote Results]:[Part of Ulster County Vote Results]])</f>
        <v>550</v>
      </c>
      <c r="J8" s="14"/>
    </row>
    <row r="9" spans="1:10" x14ac:dyDescent="0.2">
      <c r="A9" s="2" t="s">
        <v>9</v>
      </c>
      <c r="B9" s="3">
        <v>116</v>
      </c>
      <c r="C9" s="3">
        <v>52</v>
      </c>
      <c r="D9" s="3">
        <v>32</v>
      </c>
      <c r="E9" s="3">
        <v>13</v>
      </c>
      <c r="F9" s="3">
        <v>27</v>
      </c>
      <c r="G9" s="3">
        <v>12</v>
      </c>
      <c r="H9" s="3">
        <v>53</v>
      </c>
      <c r="I9" s="12">
        <f>SUM(GovByAssemblyDistrict102General[[#This Row],[Greene County Vote Results]:[Part of Ulster County Vote Results]])</f>
        <v>305</v>
      </c>
      <c r="J9" s="14"/>
    </row>
    <row r="10" spans="1:10" x14ac:dyDescent="0.2">
      <c r="A10" s="2" t="s">
        <v>16</v>
      </c>
      <c r="B10" s="3">
        <v>149</v>
      </c>
      <c r="C10" s="3">
        <v>106</v>
      </c>
      <c r="D10" s="3">
        <v>59</v>
      </c>
      <c r="E10" s="3">
        <v>21</v>
      </c>
      <c r="F10" s="3">
        <v>33</v>
      </c>
      <c r="G10" s="3">
        <v>9</v>
      </c>
      <c r="H10" s="3">
        <v>106</v>
      </c>
      <c r="I10" s="12">
        <f>SUM(GovByAssemblyDistrict102General[[#This Row],[Greene County Vote Results]:[Part of Ulster County Vote Results]])</f>
        <v>483</v>
      </c>
      <c r="J10" s="14"/>
    </row>
    <row r="11" spans="1:10" x14ac:dyDescent="0.2">
      <c r="A11" s="2" t="s">
        <v>10</v>
      </c>
      <c r="B11" s="3">
        <v>370</v>
      </c>
      <c r="C11" s="3">
        <v>563</v>
      </c>
      <c r="D11" s="3">
        <v>116</v>
      </c>
      <c r="E11" s="3">
        <v>24</v>
      </c>
      <c r="F11" s="3">
        <v>210</v>
      </c>
      <c r="G11" s="3">
        <v>67</v>
      </c>
      <c r="H11" s="3">
        <v>148</v>
      </c>
      <c r="I11" s="12">
        <f>SUM(GovByAssemblyDistrict102General[[#This Row],[Greene County Vote Results]:[Part of Ulster County Vote Results]])</f>
        <v>1498</v>
      </c>
      <c r="J11" s="13">
        <f>GovByAssemblyDistrict102General[[#This Row],[Total Votes by Party]]</f>
        <v>1498</v>
      </c>
    </row>
    <row r="12" spans="1:10" x14ac:dyDescent="0.2">
      <c r="A12" s="4" t="s">
        <v>11</v>
      </c>
      <c r="B12" s="3">
        <v>194</v>
      </c>
      <c r="C12" s="3">
        <v>144</v>
      </c>
      <c r="D12" s="3">
        <v>76</v>
      </c>
      <c r="E12" s="3">
        <v>21</v>
      </c>
      <c r="F12" s="3">
        <v>43</v>
      </c>
      <c r="G12" s="3">
        <v>19</v>
      </c>
      <c r="H12" s="3">
        <v>53</v>
      </c>
      <c r="I12" s="12">
        <f>SUM(GovByAssemblyDistrict102General[[#This Row],[Greene County Vote Results]:[Part of Ulster County Vote Results]])</f>
        <v>550</v>
      </c>
      <c r="J12" s="13">
        <f>GovByAssemblyDistrict102General[[#This Row],[Total Votes by Party]]</f>
        <v>550</v>
      </c>
    </row>
    <row r="13" spans="1:10" x14ac:dyDescent="0.2">
      <c r="A13" s="4" t="s">
        <v>0</v>
      </c>
      <c r="B13" s="3">
        <v>910</v>
      </c>
      <c r="C13" s="3">
        <v>253</v>
      </c>
      <c r="D13" s="3">
        <v>106</v>
      </c>
      <c r="E13" s="3">
        <v>37</v>
      </c>
      <c r="F13" s="3">
        <v>85</v>
      </c>
      <c r="G13" s="3">
        <v>92</v>
      </c>
      <c r="H13" s="3">
        <v>0</v>
      </c>
      <c r="I13" s="12">
        <f>SUM(GovByAssemblyDistrict102General[[#This Row],[Greene County Vote Results]:[Part of Ulster County Vote Results]])</f>
        <v>1483</v>
      </c>
      <c r="J13" s="14"/>
    </row>
    <row r="14" spans="1:10" x14ac:dyDescent="0.2">
      <c r="A14" s="4" t="s">
        <v>1</v>
      </c>
      <c r="B14" s="3">
        <v>31</v>
      </c>
      <c r="C14" s="3">
        <v>21</v>
      </c>
      <c r="D14" s="3">
        <v>12</v>
      </c>
      <c r="E14" s="3">
        <v>0</v>
      </c>
      <c r="F14" s="3">
        <v>2</v>
      </c>
      <c r="G14" s="3">
        <v>7</v>
      </c>
      <c r="H14" s="3">
        <v>0</v>
      </c>
      <c r="I14" s="12">
        <f>SUM(GovByAssemblyDistrict102General[[#This Row],[Greene County Vote Results]:[Part of Ulster County Vote Results]])</f>
        <v>73</v>
      </c>
      <c r="J14" s="14"/>
    </row>
    <row r="15" spans="1:10" x14ac:dyDescent="0.2">
      <c r="A15" s="4" t="s">
        <v>2</v>
      </c>
      <c r="B15" s="5">
        <v>19</v>
      </c>
      <c r="C15" s="5">
        <v>8</v>
      </c>
      <c r="D15" s="5">
        <v>0</v>
      </c>
      <c r="E15" s="5">
        <v>6</v>
      </c>
      <c r="F15" s="5">
        <v>5</v>
      </c>
      <c r="G15" s="5">
        <v>3</v>
      </c>
      <c r="H15" s="5">
        <v>0</v>
      </c>
      <c r="I15" s="12">
        <f>SUM(GovByAssemblyDistrict102General[[#This Row],[Greene County Vote Results]:[Part of Ulster County Vote Results]])</f>
        <v>41</v>
      </c>
      <c r="J15" s="14"/>
    </row>
    <row r="16" spans="1:10" hidden="1" x14ac:dyDescent="0.2">
      <c r="A16" s="4" t="s">
        <v>4</v>
      </c>
      <c r="B16" s="6">
        <f>SUBTOTAL(109,GovByAssemblyDistrict102General[Greene County Vote Results])</f>
        <v>20111</v>
      </c>
      <c r="C16" s="6"/>
      <c r="D16" s="6"/>
      <c r="E16" s="6"/>
      <c r="F16" s="6"/>
      <c r="G16" s="6"/>
      <c r="H16" s="6">
        <f>SUBTOTAL(109,GovByAssemblyDistrict102General[Part of Ulster County Vote Results])</f>
        <v>8678</v>
      </c>
      <c r="I16" s="6"/>
      <c r="J16" s="9"/>
    </row>
  </sheetData>
  <pageMargins left="0.7" right="0.7" top="0.75" bottom="0.75" header="0.3" footer="0.3"/>
  <tableParts count="1">
    <tablePart r:id="rId1"/>
  </tableParts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76928-FFAD-4477-9EC9-E3543C26D2F1}">
  <dimension ref="A1:E16"/>
  <sheetViews>
    <sheetView workbookViewId="0">
      <selection activeCell="B15" sqref="B15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24.75" customHeight="1" x14ac:dyDescent="0.2">
      <c r="A1" s="1" t="s">
        <v>139</v>
      </c>
    </row>
    <row r="2" spans="1:5" ht="25.5" x14ac:dyDescent="0.2">
      <c r="A2" s="7" t="s">
        <v>12</v>
      </c>
      <c r="B2" s="8" t="s">
        <v>140</v>
      </c>
      <c r="C2" s="8" t="s">
        <v>133</v>
      </c>
      <c r="D2" s="10" t="s">
        <v>228</v>
      </c>
      <c r="E2" s="11" t="s">
        <v>5</v>
      </c>
    </row>
    <row r="3" spans="1:5" x14ac:dyDescent="0.2">
      <c r="A3" s="2" t="s">
        <v>3</v>
      </c>
      <c r="B3" s="3">
        <v>4924</v>
      </c>
      <c r="C3" s="3">
        <v>27393</v>
      </c>
      <c r="D3" s="12">
        <f>SUM(GovByAssemblyDistrict103General[[#This Row],[Part of Dutchess County Vote Results]:[Part of Ulster County Vote Results]])</f>
        <v>32317</v>
      </c>
      <c r="E3" s="13">
        <f>SUM(D3,D7,D8,D9)</f>
        <v>35932</v>
      </c>
    </row>
    <row r="4" spans="1:5" x14ac:dyDescent="0.2">
      <c r="A4" s="2" t="s">
        <v>14</v>
      </c>
      <c r="B4" s="3">
        <v>3432</v>
      </c>
      <c r="C4" s="3">
        <v>17163</v>
      </c>
      <c r="D4" s="12">
        <f>SUM(GovByAssemblyDistrict103General[[#This Row],[Part of Dutchess County Vote Results]:[Part of Ulster County Vote Results]])</f>
        <v>20595</v>
      </c>
      <c r="E4" s="13">
        <f>SUM(D4,D5,D10)</f>
        <v>24362</v>
      </c>
    </row>
    <row r="5" spans="1:5" x14ac:dyDescent="0.2">
      <c r="A5" s="2" t="s">
        <v>15</v>
      </c>
      <c r="B5" s="3">
        <v>456</v>
      </c>
      <c r="C5" s="3">
        <v>2784</v>
      </c>
      <c r="D5" s="12">
        <f>SUM(GovByAssemblyDistrict103General[[#This Row],[Part of Dutchess County Vote Results]:[Part of Ulster County Vote Results]])</f>
        <v>3240</v>
      </c>
      <c r="E5" s="14"/>
    </row>
    <row r="6" spans="1:5" x14ac:dyDescent="0.2">
      <c r="A6" s="2" t="s">
        <v>6</v>
      </c>
      <c r="B6" s="3">
        <v>174</v>
      </c>
      <c r="C6" s="3">
        <v>1519</v>
      </c>
      <c r="D6" s="12">
        <f>SUM(GovByAssemblyDistrict103General[[#This Row],[Part of Dutchess County Vote Results]:[Part of Ulster County Vote Results]])</f>
        <v>1693</v>
      </c>
      <c r="E6" s="13">
        <f>GovByAssemblyDistrict103General[[#This Row],[Total Votes by Party]]</f>
        <v>1693</v>
      </c>
    </row>
    <row r="7" spans="1:5" x14ac:dyDescent="0.2">
      <c r="A7" s="2" t="s">
        <v>7</v>
      </c>
      <c r="B7" s="3">
        <v>236</v>
      </c>
      <c r="C7" s="3">
        <v>2153</v>
      </c>
      <c r="D7" s="12">
        <f>SUM(GovByAssemblyDistrict103General[[#This Row],[Part of Dutchess County Vote Results]:[Part of Ulster County Vote Results]])</f>
        <v>2389</v>
      </c>
      <c r="E7" s="14"/>
    </row>
    <row r="8" spans="1:5" x14ac:dyDescent="0.2">
      <c r="A8" s="2" t="s">
        <v>8</v>
      </c>
      <c r="B8" s="3">
        <v>55</v>
      </c>
      <c r="C8" s="3">
        <v>609</v>
      </c>
      <c r="D8" s="12">
        <f>SUM(GovByAssemblyDistrict103General[[#This Row],[Part of Dutchess County Vote Results]:[Part of Ulster County Vote Results]])</f>
        <v>664</v>
      </c>
      <c r="E8" s="14"/>
    </row>
    <row r="9" spans="1:5" x14ac:dyDescent="0.2">
      <c r="A9" s="2" t="s">
        <v>9</v>
      </c>
      <c r="B9" s="3">
        <v>49</v>
      </c>
      <c r="C9" s="3">
        <v>513</v>
      </c>
      <c r="D9" s="12">
        <f>SUM(GovByAssemblyDistrict103General[[#This Row],[Part of Dutchess County Vote Results]:[Part of Ulster County Vote Results]])</f>
        <v>562</v>
      </c>
      <c r="E9" s="14"/>
    </row>
    <row r="10" spans="1:5" x14ac:dyDescent="0.2">
      <c r="A10" s="2" t="s">
        <v>16</v>
      </c>
      <c r="B10" s="3">
        <v>118</v>
      </c>
      <c r="C10" s="3">
        <v>409</v>
      </c>
      <c r="D10" s="12">
        <f>SUM(GovByAssemblyDistrict103General[[#This Row],[Part of Dutchess County Vote Results]:[Part of Ulster County Vote Results]])</f>
        <v>527</v>
      </c>
      <c r="E10" s="14"/>
    </row>
    <row r="11" spans="1:5" x14ac:dyDescent="0.2">
      <c r="A11" s="2" t="s">
        <v>10</v>
      </c>
      <c r="B11" s="3">
        <v>85</v>
      </c>
      <c r="C11" s="3">
        <v>816</v>
      </c>
      <c r="D11" s="12">
        <f>SUM(GovByAssemblyDistrict103General[[#This Row],[Part of Dutchess County Vote Results]:[Part of Ulster County Vote Results]])</f>
        <v>901</v>
      </c>
      <c r="E11" s="13">
        <f>GovByAssemblyDistrict103General[[#This Row],[Total Votes by Party]]</f>
        <v>901</v>
      </c>
    </row>
    <row r="12" spans="1:5" x14ac:dyDescent="0.2">
      <c r="A12" s="4" t="s">
        <v>11</v>
      </c>
      <c r="B12" s="3">
        <v>45</v>
      </c>
      <c r="C12" s="3">
        <v>297</v>
      </c>
      <c r="D12" s="12">
        <f>SUM(GovByAssemblyDistrict103General[[#This Row],[Part of Dutchess County Vote Results]:[Part of Ulster County Vote Results]])</f>
        <v>342</v>
      </c>
      <c r="E12" s="13">
        <f>GovByAssemblyDistrict103General[[#This Row],[Total Votes by Party]]</f>
        <v>342</v>
      </c>
    </row>
    <row r="13" spans="1:5" x14ac:dyDescent="0.2">
      <c r="A13" s="4" t="s">
        <v>0</v>
      </c>
      <c r="B13" s="3">
        <v>87</v>
      </c>
      <c r="C13" s="3">
        <v>0</v>
      </c>
      <c r="D13" s="12">
        <f>SUM(GovByAssemblyDistrict103General[[#This Row],[Part of Dutchess County Vote Results]:[Part of Ulster County Vote Results]])</f>
        <v>87</v>
      </c>
      <c r="E13" s="14"/>
    </row>
    <row r="14" spans="1:5" x14ac:dyDescent="0.2">
      <c r="A14" s="4" t="s">
        <v>1</v>
      </c>
      <c r="B14" s="3">
        <v>4</v>
      </c>
      <c r="C14" s="3">
        <v>0</v>
      </c>
      <c r="D14" s="12">
        <f>SUM(GovByAssemblyDistrict103General[[#This Row],[Part of Dutchess County Vote Results]:[Part of Ulster County Vote Results]])</f>
        <v>4</v>
      </c>
      <c r="E14" s="14"/>
    </row>
    <row r="15" spans="1:5" x14ac:dyDescent="0.2">
      <c r="A15" s="4" t="s">
        <v>2</v>
      </c>
      <c r="B15" s="5">
        <v>6</v>
      </c>
      <c r="C15" s="5">
        <v>0</v>
      </c>
      <c r="D15" s="12">
        <f>SUM(GovByAssemblyDistrict103General[[#This Row],[Part of Dutchess County Vote Results]:[Part of Ulster County Vote Results]])</f>
        <v>6</v>
      </c>
      <c r="E15" s="14"/>
    </row>
    <row r="16" spans="1:5" hidden="1" x14ac:dyDescent="0.2">
      <c r="A16" s="4" t="s">
        <v>4</v>
      </c>
      <c r="B16" s="6">
        <f>SUBTOTAL(109,GovByAssemblyDistrict103General[Part of Dutchess County Vote Results])</f>
        <v>9671</v>
      </c>
      <c r="C16" s="6">
        <f>SUBTOTAL(109,GovByAssemblyDistrict103General[Part of Ulster County Vote Results])</f>
        <v>53656</v>
      </c>
      <c r="D16" s="6"/>
      <c r="E16" s="9"/>
    </row>
  </sheetData>
  <pageMargins left="0.7" right="0.7" top="0.75" bottom="0.75" header="0.3" footer="0.3"/>
  <tableParts count="1">
    <tablePart r:id="rId1"/>
  </tableParts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3520D-19F2-4CCB-91DE-BDF2516AD1E2}">
  <dimension ref="A1:F16"/>
  <sheetViews>
    <sheetView workbookViewId="0">
      <selection activeCell="B15" sqref="B15"/>
    </sheetView>
  </sheetViews>
  <sheetFormatPr defaultRowHeight="12.75" x14ac:dyDescent="0.2"/>
  <cols>
    <col min="1" max="1" width="25.5703125" customWidth="1"/>
    <col min="2" max="6" width="20.5703125" customWidth="1"/>
    <col min="7" max="8" width="23.5703125" customWidth="1"/>
  </cols>
  <sheetData>
    <row r="1" spans="1:6" ht="24.75" customHeight="1" x14ac:dyDescent="0.2">
      <c r="A1" s="1" t="s">
        <v>141</v>
      </c>
    </row>
    <row r="2" spans="1:6" ht="25.5" x14ac:dyDescent="0.2">
      <c r="A2" s="7" t="s">
        <v>12</v>
      </c>
      <c r="B2" s="8" t="s">
        <v>140</v>
      </c>
      <c r="C2" s="8" t="s">
        <v>124</v>
      </c>
      <c r="D2" s="8" t="s">
        <v>133</v>
      </c>
      <c r="E2" s="10" t="s">
        <v>228</v>
      </c>
      <c r="F2" s="11" t="s">
        <v>5</v>
      </c>
    </row>
    <row r="3" spans="1:6" x14ac:dyDescent="0.2">
      <c r="A3" s="2" t="s">
        <v>3</v>
      </c>
      <c r="B3" s="3">
        <v>8508</v>
      </c>
      <c r="C3" s="3">
        <v>8530</v>
      </c>
      <c r="D3" s="3">
        <v>3054</v>
      </c>
      <c r="E3" s="12">
        <f>SUM(GovByAssemblyDistrict104General[[#This Row],[Part of Dutchess County Vote Results]:[Part of Ulster County Vote Results]])</f>
        <v>20092</v>
      </c>
      <c r="F3" s="13">
        <f>SUM(E3,E7,E8,E9)</f>
        <v>21405</v>
      </c>
    </row>
    <row r="4" spans="1:6" x14ac:dyDescent="0.2">
      <c r="A4" s="2" t="s">
        <v>14</v>
      </c>
      <c r="B4" s="3">
        <v>3506</v>
      </c>
      <c r="C4" s="3">
        <v>6094</v>
      </c>
      <c r="D4" s="3">
        <v>3673</v>
      </c>
      <c r="E4" s="12">
        <f>SUM(GovByAssemblyDistrict104General[[#This Row],[Part of Dutchess County Vote Results]:[Part of Ulster County Vote Results]])</f>
        <v>13273</v>
      </c>
      <c r="F4" s="13">
        <f>SUM(E4,E5,E10)</f>
        <v>15209</v>
      </c>
    </row>
    <row r="5" spans="1:6" x14ac:dyDescent="0.2">
      <c r="A5" s="2" t="s">
        <v>15</v>
      </c>
      <c r="B5" s="3">
        <v>481</v>
      </c>
      <c r="C5" s="3">
        <v>711</v>
      </c>
      <c r="D5" s="3">
        <v>505</v>
      </c>
      <c r="E5" s="12">
        <f>SUM(GovByAssemblyDistrict104General[[#This Row],[Part of Dutchess County Vote Results]:[Part of Ulster County Vote Results]])</f>
        <v>1697</v>
      </c>
      <c r="F5" s="14"/>
    </row>
    <row r="6" spans="1:6" x14ac:dyDescent="0.2">
      <c r="A6" s="2" t="s">
        <v>6</v>
      </c>
      <c r="B6" s="3">
        <v>239</v>
      </c>
      <c r="C6" s="3">
        <v>200</v>
      </c>
      <c r="D6" s="3">
        <v>95</v>
      </c>
      <c r="E6" s="12">
        <f>SUM(GovByAssemblyDistrict104General[[#This Row],[Part of Dutchess County Vote Results]:[Part of Ulster County Vote Results]])</f>
        <v>534</v>
      </c>
      <c r="F6" s="13">
        <f>GovByAssemblyDistrict104General[[#This Row],[Total Votes by Party]]</f>
        <v>534</v>
      </c>
    </row>
    <row r="7" spans="1:6" x14ac:dyDescent="0.2">
      <c r="A7" s="2" t="s">
        <v>7</v>
      </c>
      <c r="B7" s="3">
        <v>375</v>
      </c>
      <c r="C7" s="3">
        <v>224</v>
      </c>
      <c r="D7" s="3">
        <v>109</v>
      </c>
      <c r="E7" s="12">
        <f>SUM(GovByAssemblyDistrict104General[[#This Row],[Part of Dutchess County Vote Results]:[Part of Ulster County Vote Results]])</f>
        <v>708</v>
      </c>
      <c r="F7" s="14"/>
    </row>
    <row r="8" spans="1:6" x14ac:dyDescent="0.2">
      <c r="A8" s="2" t="s">
        <v>8</v>
      </c>
      <c r="B8" s="3">
        <v>148</v>
      </c>
      <c r="C8" s="3">
        <v>143</v>
      </c>
      <c r="D8" s="3">
        <v>77</v>
      </c>
      <c r="E8" s="12">
        <f>SUM(GovByAssemblyDistrict104General[[#This Row],[Part of Dutchess County Vote Results]:[Part of Ulster County Vote Results]])</f>
        <v>368</v>
      </c>
      <c r="F8" s="14"/>
    </row>
    <row r="9" spans="1:6" x14ac:dyDescent="0.2">
      <c r="A9" s="2" t="s">
        <v>9</v>
      </c>
      <c r="B9" s="3">
        <v>111</v>
      </c>
      <c r="C9" s="3">
        <v>81</v>
      </c>
      <c r="D9" s="3">
        <v>45</v>
      </c>
      <c r="E9" s="12">
        <f>SUM(GovByAssemblyDistrict104General[[#This Row],[Part of Dutchess County Vote Results]:[Part of Ulster County Vote Results]])</f>
        <v>237</v>
      </c>
      <c r="F9" s="14"/>
    </row>
    <row r="10" spans="1:6" x14ac:dyDescent="0.2">
      <c r="A10" s="2" t="s">
        <v>16</v>
      </c>
      <c r="B10" s="3">
        <v>89</v>
      </c>
      <c r="C10" s="3">
        <v>91</v>
      </c>
      <c r="D10" s="3">
        <v>59</v>
      </c>
      <c r="E10" s="12">
        <f>SUM(GovByAssemblyDistrict104General[[#This Row],[Part of Dutchess County Vote Results]:[Part of Ulster County Vote Results]])</f>
        <v>239</v>
      </c>
      <c r="F10" s="14"/>
    </row>
    <row r="11" spans="1:6" x14ac:dyDescent="0.2">
      <c r="A11" s="2" t="s">
        <v>10</v>
      </c>
      <c r="B11" s="3">
        <v>121</v>
      </c>
      <c r="C11" s="3">
        <v>150</v>
      </c>
      <c r="D11" s="3">
        <v>128</v>
      </c>
      <c r="E11" s="12">
        <f>SUM(GovByAssemblyDistrict104General[[#This Row],[Part of Dutchess County Vote Results]:[Part of Ulster County Vote Results]])</f>
        <v>399</v>
      </c>
      <c r="F11" s="13">
        <f>GovByAssemblyDistrict104General[[#This Row],[Total Votes by Party]]</f>
        <v>399</v>
      </c>
    </row>
    <row r="12" spans="1:6" x14ac:dyDescent="0.2">
      <c r="A12" s="4" t="s">
        <v>11</v>
      </c>
      <c r="B12" s="3">
        <v>89</v>
      </c>
      <c r="C12" s="3">
        <v>101</v>
      </c>
      <c r="D12" s="3">
        <v>27</v>
      </c>
      <c r="E12" s="12">
        <f>SUM(GovByAssemblyDistrict104General[[#This Row],[Part of Dutchess County Vote Results]:[Part of Ulster County Vote Results]])</f>
        <v>217</v>
      </c>
      <c r="F12" s="13">
        <f>GovByAssemblyDistrict104General[[#This Row],[Total Votes by Party]]</f>
        <v>217</v>
      </c>
    </row>
    <row r="13" spans="1:6" x14ac:dyDescent="0.2">
      <c r="A13" s="4" t="s">
        <v>0</v>
      </c>
      <c r="B13" s="3">
        <v>120</v>
      </c>
      <c r="C13" s="3">
        <v>475</v>
      </c>
      <c r="D13" s="3">
        <v>0</v>
      </c>
      <c r="E13" s="12">
        <f>SUM(GovByAssemblyDistrict104General[[#This Row],[Part of Dutchess County Vote Results]:[Part of Ulster County Vote Results]])</f>
        <v>595</v>
      </c>
      <c r="F13" s="14"/>
    </row>
    <row r="14" spans="1:6" x14ac:dyDescent="0.2">
      <c r="A14" s="4" t="s">
        <v>1</v>
      </c>
      <c r="B14" s="3">
        <v>11</v>
      </c>
      <c r="C14" s="3">
        <v>0</v>
      </c>
      <c r="D14" s="3">
        <v>0</v>
      </c>
      <c r="E14" s="12">
        <f>SUM(GovByAssemblyDistrict104General[[#This Row],[Part of Dutchess County Vote Results]:[Part of Ulster County Vote Results]])</f>
        <v>11</v>
      </c>
      <c r="F14" s="14"/>
    </row>
    <row r="15" spans="1:6" x14ac:dyDescent="0.2">
      <c r="A15" s="4" t="s">
        <v>2</v>
      </c>
      <c r="B15" s="5">
        <v>17</v>
      </c>
      <c r="C15" s="5">
        <v>12</v>
      </c>
      <c r="D15" s="5">
        <v>0</v>
      </c>
      <c r="E15" s="12">
        <f>SUM(GovByAssemblyDistrict104General[[#This Row],[Part of Dutchess County Vote Results]:[Part of Ulster County Vote Results]])</f>
        <v>29</v>
      </c>
      <c r="F15" s="14"/>
    </row>
    <row r="16" spans="1:6" hidden="1" x14ac:dyDescent="0.2">
      <c r="A16" s="4" t="s">
        <v>4</v>
      </c>
      <c r="B16" s="6">
        <f>SUBTOTAL(109,GovByAssemblyDistrict104General[Part of Dutchess County Vote Results])</f>
        <v>13815</v>
      </c>
      <c r="C16" s="6"/>
      <c r="D16" s="6">
        <f>SUBTOTAL(109,GovByAssemblyDistrict104General[Part of Ulster County Vote Results])</f>
        <v>7772</v>
      </c>
      <c r="E16" s="6"/>
      <c r="F16" s="9"/>
    </row>
  </sheetData>
  <pageMargins left="0.7" right="0.7" top="0.75" bottom="0.75" header="0.3" footer="0.3"/>
  <tableParts count="1">
    <tablePart r:id="rId1"/>
  </tableParts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4BD19-1AA0-41FE-AB8C-37C36FAFC94B}">
  <dimension ref="A1:D16"/>
  <sheetViews>
    <sheetView workbookViewId="0">
      <selection activeCell="B15" sqref="B15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142</v>
      </c>
    </row>
    <row r="2" spans="1:4" ht="24.95" customHeight="1" x14ac:dyDescent="0.2">
      <c r="A2" s="7" t="s">
        <v>12</v>
      </c>
      <c r="B2" s="8" t="s">
        <v>140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19612</v>
      </c>
      <c r="C3" s="12">
        <f>GovByAssemblyDistrict105General[[#This Row],[Part of Dutchess County Vote Results]]</f>
        <v>19612</v>
      </c>
      <c r="D3" s="13">
        <f>SUM(C3,C7,C8,C9)</f>
        <v>20740</v>
      </c>
    </row>
    <row r="4" spans="1:4" x14ac:dyDescent="0.2">
      <c r="A4" s="2" t="s">
        <v>14</v>
      </c>
      <c r="B4" s="3">
        <v>27289</v>
      </c>
      <c r="C4" s="12">
        <f>GovByAssemblyDistrict105General[[#This Row],[Part of Dutchess County Vote Results]]</f>
        <v>27289</v>
      </c>
      <c r="D4" s="13">
        <f>SUM(C4,C5,C10)</f>
        <v>31625</v>
      </c>
    </row>
    <row r="5" spans="1:4" x14ac:dyDescent="0.2">
      <c r="A5" s="2" t="s">
        <v>15</v>
      </c>
      <c r="B5" s="3">
        <v>3942</v>
      </c>
      <c r="C5" s="12">
        <f>GovByAssemblyDistrict105General[[#This Row],[Part of Dutchess County Vote Results]]</f>
        <v>3942</v>
      </c>
      <c r="D5" s="14"/>
    </row>
    <row r="6" spans="1:4" x14ac:dyDescent="0.2">
      <c r="A6" s="2" t="s">
        <v>6</v>
      </c>
      <c r="B6" s="3">
        <v>483</v>
      </c>
      <c r="C6" s="12">
        <f>GovByAssemblyDistrict105General[[#This Row],[Part of Dutchess County Vote Results]]</f>
        <v>483</v>
      </c>
      <c r="D6" s="13">
        <f>GovByAssemblyDistrict105General[[#This Row],[Total Votes by Party]]</f>
        <v>483</v>
      </c>
    </row>
    <row r="7" spans="1:4" x14ac:dyDescent="0.2">
      <c r="A7" s="2" t="s">
        <v>7</v>
      </c>
      <c r="B7" s="3">
        <v>468</v>
      </c>
      <c r="C7" s="12">
        <f>GovByAssemblyDistrict105General[[#This Row],[Part of Dutchess County Vote Results]]</f>
        <v>468</v>
      </c>
      <c r="D7" s="14"/>
    </row>
    <row r="8" spans="1:4" x14ac:dyDescent="0.2">
      <c r="A8" s="2" t="s">
        <v>8</v>
      </c>
      <c r="B8" s="3">
        <v>451</v>
      </c>
      <c r="C8" s="12">
        <f>GovByAssemblyDistrict105General[[#This Row],[Part of Dutchess County Vote Results]]</f>
        <v>451</v>
      </c>
      <c r="D8" s="14"/>
    </row>
    <row r="9" spans="1:4" x14ac:dyDescent="0.2">
      <c r="A9" s="2" t="s">
        <v>9</v>
      </c>
      <c r="B9" s="3">
        <v>209</v>
      </c>
      <c r="C9" s="12">
        <f>GovByAssemblyDistrict105General[[#This Row],[Part of Dutchess County Vote Results]]</f>
        <v>209</v>
      </c>
      <c r="D9" s="14"/>
    </row>
    <row r="10" spans="1:4" x14ac:dyDescent="0.2">
      <c r="A10" s="2" t="s">
        <v>16</v>
      </c>
      <c r="B10" s="3">
        <v>394</v>
      </c>
      <c r="C10" s="12">
        <f>GovByAssemblyDistrict105General[[#This Row],[Part of Dutchess County Vote Results]]</f>
        <v>394</v>
      </c>
      <c r="D10" s="14"/>
    </row>
    <row r="11" spans="1:4" x14ac:dyDescent="0.2">
      <c r="A11" s="2" t="s">
        <v>10</v>
      </c>
      <c r="B11" s="3">
        <v>558</v>
      </c>
      <c r="C11" s="12">
        <f>GovByAssemblyDistrict105General[[#This Row],[Part of Dutchess County Vote Results]]</f>
        <v>558</v>
      </c>
      <c r="D11" s="13">
        <f>GovByAssemblyDistrict105General[[#This Row],[Total Votes by Party]]</f>
        <v>558</v>
      </c>
    </row>
    <row r="12" spans="1:4" x14ac:dyDescent="0.2">
      <c r="A12" s="4" t="s">
        <v>11</v>
      </c>
      <c r="B12" s="5">
        <v>173</v>
      </c>
      <c r="C12" s="12">
        <f>GovByAssemblyDistrict105General[[#This Row],[Part of Dutchess County Vote Results]]</f>
        <v>173</v>
      </c>
      <c r="D12" s="13">
        <f>GovByAssemblyDistrict105General[[#This Row],[Total Votes by Party]]</f>
        <v>173</v>
      </c>
    </row>
    <row r="13" spans="1:4" x14ac:dyDescent="0.2">
      <c r="A13" s="4" t="s">
        <v>0</v>
      </c>
      <c r="B13" s="5">
        <v>295</v>
      </c>
      <c r="C13" s="12">
        <f>GovByAssemblyDistrict105General[[#This Row],[Part of Dutchess County Vote Results]]</f>
        <v>295</v>
      </c>
      <c r="D13" s="14"/>
    </row>
    <row r="14" spans="1:4" x14ac:dyDescent="0.2">
      <c r="A14" s="4" t="s">
        <v>1</v>
      </c>
      <c r="B14" s="5">
        <v>26</v>
      </c>
      <c r="C14" s="12">
        <f>GovByAssemblyDistrict105General[[#This Row],[Part of Dutchess County Vote Results]]</f>
        <v>26</v>
      </c>
      <c r="D14" s="14"/>
    </row>
    <row r="15" spans="1:4" x14ac:dyDescent="0.2">
      <c r="A15" s="4" t="s">
        <v>2</v>
      </c>
      <c r="B15" s="5">
        <v>30</v>
      </c>
      <c r="C15" s="12">
        <f>GovByAssemblyDistrict105General[[#This Row],[Part of Dutchess County Vote Results]]</f>
        <v>30</v>
      </c>
      <c r="D15" s="14"/>
    </row>
    <row r="16" spans="1:4" hidden="1" x14ac:dyDescent="0.2">
      <c r="A16" s="4" t="s">
        <v>4</v>
      </c>
      <c r="B16" s="6">
        <f>SUBTOTAL(109,GovByAssemblyDistrict105General[Total Votes by Candidate])</f>
        <v>53579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C9C1F-3865-47AB-84F2-B6A1B3F1BF2E}">
  <dimension ref="A1:E16"/>
  <sheetViews>
    <sheetView workbookViewId="0">
      <selection activeCell="C15" sqref="C15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24.75" customHeight="1" x14ac:dyDescent="0.2">
      <c r="A1" s="1" t="s">
        <v>143</v>
      </c>
    </row>
    <row r="2" spans="1:5" ht="25.5" x14ac:dyDescent="0.2">
      <c r="A2" s="7" t="s">
        <v>12</v>
      </c>
      <c r="B2" s="8" t="s">
        <v>138</v>
      </c>
      <c r="C2" s="8" t="s">
        <v>140</v>
      </c>
      <c r="D2" s="10" t="s">
        <v>228</v>
      </c>
      <c r="E2" s="11" t="s">
        <v>5</v>
      </c>
    </row>
    <row r="3" spans="1:5" x14ac:dyDescent="0.2">
      <c r="A3" s="2" t="s">
        <v>3</v>
      </c>
      <c r="B3" s="3">
        <v>7048</v>
      </c>
      <c r="C3" s="3">
        <v>15089</v>
      </c>
      <c r="D3" s="12">
        <f>SUM(GovByAssemblyDistrict106General[[#This Row],[Part of Columbia County Vote Results]:[Part of Dutchess County Vote Results]])</f>
        <v>22137</v>
      </c>
      <c r="E3" s="13">
        <f>SUM(D3,D7,D8,D9)</f>
        <v>23730</v>
      </c>
    </row>
    <row r="4" spans="1:5" x14ac:dyDescent="0.2">
      <c r="A4" s="2" t="s">
        <v>14</v>
      </c>
      <c r="B4" s="3">
        <v>7016</v>
      </c>
      <c r="C4" s="3">
        <v>16760</v>
      </c>
      <c r="D4" s="12">
        <f>SUM(GovByAssemblyDistrict106General[[#This Row],[Part of Columbia County Vote Results]:[Part of Dutchess County Vote Results]])</f>
        <v>23776</v>
      </c>
      <c r="E4" s="13">
        <f>SUM(D4,D5,D10)</f>
        <v>27636</v>
      </c>
    </row>
    <row r="5" spans="1:5" x14ac:dyDescent="0.2">
      <c r="A5" s="2" t="s">
        <v>15</v>
      </c>
      <c r="B5" s="3">
        <v>1046</v>
      </c>
      <c r="C5" s="3">
        <v>2369</v>
      </c>
      <c r="D5" s="12">
        <f>SUM(GovByAssemblyDistrict106General[[#This Row],[Part of Columbia County Vote Results]:[Part of Dutchess County Vote Results]])</f>
        <v>3415</v>
      </c>
      <c r="E5" s="14"/>
    </row>
    <row r="6" spans="1:5" x14ac:dyDescent="0.2">
      <c r="A6" s="2" t="s">
        <v>6</v>
      </c>
      <c r="B6" s="3">
        <v>341</v>
      </c>
      <c r="C6" s="3">
        <v>416</v>
      </c>
      <c r="D6" s="12">
        <f>SUM(GovByAssemblyDistrict106General[[#This Row],[Part of Columbia County Vote Results]:[Part of Dutchess County Vote Results]])</f>
        <v>757</v>
      </c>
      <c r="E6" s="13">
        <f>GovByAssemblyDistrict106General[[#This Row],[Total Votes by Party]]</f>
        <v>757</v>
      </c>
    </row>
    <row r="7" spans="1:5" x14ac:dyDescent="0.2">
      <c r="A7" s="2" t="s">
        <v>7</v>
      </c>
      <c r="B7" s="3">
        <v>398</v>
      </c>
      <c r="C7" s="3">
        <v>455</v>
      </c>
      <c r="D7" s="12">
        <f>SUM(GovByAssemblyDistrict106General[[#This Row],[Part of Columbia County Vote Results]:[Part of Dutchess County Vote Results]])</f>
        <v>853</v>
      </c>
      <c r="E7" s="14"/>
    </row>
    <row r="8" spans="1:5" x14ac:dyDescent="0.2">
      <c r="A8" s="2" t="s">
        <v>8</v>
      </c>
      <c r="B8" s="3">
        <v>151</v>
      </c>
      <c r="C8" s="3">
        <v>341</v>
      </c>
      <c r="D8" s="12">
        <f>SUM(GovByAssemblyDistrict106General[[#This Row],[Part of Columbia County Vote Results]:[Part of Dutchess County Vote Results]])</f>
        <v>492</v>
      </c>
      <c r="E8" s="14"/>
    </row>
    <row r="9" spans="1:5" x14ac:dyDescent="0.2">
      <c r="A9" s="2" t="s">
        <v>9</v>
      </c>
      <c r="B9" s="3">
        <v>91</v>
      </c>
      <c r="C9" s="3">
        <v>157</v>
      </c>
      <c r="D9" s="12">
        <f>SUM(GovByAssemblyDistrict106General[[#This Row],[Part of Columbia County Vote Results]:[Part of Dutchess County Vote Results]])</f>
        <v>248</v>
      </c>
      <c r="E9" s="14"/>
    </row>
    <row r="10" spans="1:5" x14ac:dyDescent="0.2">
      <c r="A10" s="2" t="s">
        <v>16</v>
      </c>
      <c r="B10" s="3">
        <v>144</v>
      </c>
      <c r="C10" s="3">
        <v>301</v>
      </c>
      <c r="D10" s="12">
        <f>SUM(GovByAssemblyDistrict106General[[#This Row],[Part of Columbia County Vote Results]:[Part of Dutchess County Vote Results]])</f>
        <v>445</v>
      </c>
      <c r="E10" s="14"/>
    </row>
    <row r="11" spans="1:5" x14ac:dyDescent="0.2">
      <c r="A11" s="2" t="s">
        <v>10</v>
      </c>
      <c r="B11" s="3">
        <v>162</v>
      </c>
      <c r="C11" s="3">
        <v>415</v>
      </c>
      <c r="D11" s="12">
        <f>SUM(GovByAssemblyDistrict106General[[#This Row],[Part of Columbia County Vote Results]:[Part of Dutchess County Vote Results]])</f>
        <v>577</v>
      </c>
      <c r="E11" s="13">
        <f>GovByAssemblyDistrict106General[[#This Row],[Total Votes by Party]]</f>
        <v>577</v>
      </c>
    </row>
    <row r="12" spans="1:5" x14ac:dyDescent="0.2">
      <c r="A12" s="4" t="s">
        <v>11</v>
      </c>
      <c r="B12" s="3">
        <v>107</v>
      </c>
      <c r="C12" s="3">
        <v>146</v>
      </c>
      <c r="D12" s="12">
        <f>SUM(GovByAssemblyDistrict106General[[#This Row],[Part of Columbia County Vote Results]:[Part of Dutchess County Vote Results]])</f>
        <v>253</v>
      </c>
      <c r="E12" s="13">
        <f>GovByAssemblyDistrict106General[[#This Row],[Total Votes by Party]]</f>
        <v>253</v>
      </c>
    </row>
    <row r="13" spans="1:5" x14ac:dyDescent="0.2">
      <c r="A13" s="4" t="s">
        <v>0</v>
      </c>
      <c r="B13" s="3">
        <v>337</v>
      </c>
      <c r="C13" s="3">
        <v>270</v>
      </c>
      <c r="D13" s="12">
        <f>SUM(GovByAssemblyDistrict106General[[#This Row],[Part of Columbia County Vote Results]:[Part of Dutchess County Vote Results]])</f>
        <v>607</v>
      </c>
      <c r="E13" s="14"/>
    </row>
    <row r="14" spans="1:5" x14ac:dyDescent="0.2">
      <c r="A14" s="4" t="s">
        <v>1</v>
      </c>
      <c r="B14" s="3">
        <v>40</v>
      </c>
      <c r="C14" s="3">
        <v>35</v>
      </c>
      <c r="D14" s="12">
        <f>SUM(GovByAssemblyDistrict106General[[#This Row],[Part of Columbia County Vote Results]:[Part of Dutchess County Vote Results]])</f>
        <v>75</v>
      </c>
      <c r="E14" s="14"/>
    </row>
    <row r="15" spans="1:5" x14ac:dyDescent="0.2">
      <c r="A15" s="4" t="s">
        <v>2</v>
      </c>
      <c r="B15" s="5">
        <v>19</v>
      </c>
      <c r="C15" s="5">
        <v>29</v>
      </c>
      <c r="D15" s="12">
        <f>SUM(GovByAssemblyDistrict106General[[#This Row],[Part of Columbia County Vote Results]:[Part of Dutchess County Vote Results]])</f>
        <v>48</v>
      </c>
      <c r="E15" s="14"/>
    </row>
    <row r="16" spans="1:5" hidden="1" x14ac:dyDescent="0.2">
      <c r="A16" s="4" t="s">
        <v>4</v>
      </c>
      <c r="B16" s="6">
        <f>SUBTOTAL(109,GovByAssemblyDistrict106General[Part of Columbia County Vote Results])</f>
        <v>16900</v>
      </c>
      <c r="C16" s="6">
        <f>SUBTOTAL(109,GovByAssemblyDistrict106General[Part of Dutchess County Vote Results])</f>
        <v>36783</v>
      </c>
      <c r="D16" s="6"/>
      <c r="E16" s="9"/>
    </row>
  </sheetData>
  <pageMargins left="0.7" right="0.7" top="0.75" bottom="0.75" header="0.3" footer="0.3"/>
  <tableParts count="1">
    <tablePart r:id="rId1"/>
  </tableParts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AD8AF-7F5E-43AE-9D57-78524B694908}">
  <dimension ref="A1:F16"/>
  <sheetViews>
    <sheetView workbookViewId="0">
      <selection activeCell="B19" sqref="B19"/>
    </sheetView>
  </sheetViews>
  <sheetFormatPr defaultRowHeight="12.75" x14ac:dyDescent="0.2"/>
  <cols>
    <col min="1" max="1" width="25.5703125" customWidth="1"/>
    <col min="2" max="6" width="20.5703125" customWidth="1"/>
    <col min="7" max="8" width="23.5703125" customWidth="1"/>
  </cols>
  <sheetData>
    <row r="1" spans="1:6" ht="24.75" customHeight="1" x14ac:dyDescent="0.2">
      <c r="A1" s="1" t="s">
        <v>144</v>
      </c>
    </row>
    <row r="2" spans="1:6" ht="25.5" x14ac:dyDescent="0.2">
      <c r="A2" s="7" t="s">
        <v>12</v>
      </c>
      <c r="B2" s="8" t="s">
        <v>138</v>
      </c>
      <c r="C2" s="8" t="s">
        <v>145</v>
      </c>
      <c r="D2" s="8" t="s">
        <v>146</v>
      </c>
      <c r="E2" s="10" t="s">
        <v>228</v>
      </c>
      <c r="F2" s="11" t="s">
        <v>5</v>
      </c>
    </row>
    <row r="3" spans="1:6" x14ac:dyDescent="0.2">
      <c r="A3" s="2" t="s">
        <v>3</v>
      </c>
      <c r="B3" s="3">
        <v>4759</v>
      </c>
      <c r="C3" s="3">
        <v>14424</v>
      </c>
      <c r="D3" s="3">
        <v>761</v>
      </c>
      <c r="E3" s="12">
        <f>SUM(GovByAssemblyDistrict107General[[#This Row],[Part of Columbia County Vote Results]:[Part of Washington County Vote Results]])</f>
        <v>19944</v>
      </c>
      <c r="F3" s="13">
        <f>SUM(E3,E7,E8,E9)</f>
        <v>22127</v>
      </c>
    </row>
    <row r="4" spans="1:6" x14ac:dyDescent="0.2">
      <c r="A4" s="2" t="s">
        <v>14</v>
      </c>
      <c r="B4" s="3">
        <v>3989</v>
      </c>
      <c r="C4" s="3">
        <v>20916</v>
      </c>
      <c r="D4" s="3">
        <v>984</v>
      </c>
      <c r="E4" s="12">
        <f>SUM(GovByAssemblyDistrict107General[[#This Row],[Part of Columbia County Vote Results]:[Part of Washington County Vote Results]])</f>
        <v>25889</v>
      </c>
      <c r="F4" s="13">
        <f>SUM(E4,E5,E10)</f>
        <v>31629</v>
      </c>
    </row>
    <row r="5" spans="1:6" x14ac:dyDescent="0.2">
      <c r="A5" s="2" t="s">
        <v>15</v>
      </c>
      <c r="B5" s="3">
        <v>763</v>
      </c>
      <c r="C5" s="3">
        <v>4221</v>
      </c>
      <c r="D5" s="3">
        <v>169</v>
      </c>
      <c r="E5" s="12">
        <f>SUM(GovByAssemblyDistrict107General[[#This Row],[Part of Columbia County Vote Results]:[Part of Washington County Vote Results]])</f>
        <v>5153</v>
      </c>
      <c r="F5" s="14"/>
    </row>
    <row r="6" spans="1:6" x14ac:dyDescent="0.2">
      <c r="A6" s="2" t="s">
        <v>6</v>
      </c>
      <c r="B6" s="3">
        <v>290</v>
      </c>
      <c r="C6" s="3">
        <v>1213</v>
      </c>
      <c r="D6" s="3">
        <v>76</v>
      </c>
      <c r="E6" s="12">
        <f>SUM(GovByAssemblyDistrict107General[[#This Row],[Part of Columbia County Vote Results]:[Part of Washington County Vote Results]])</f>
        <v>1579</v>
      </c>
      <c r="F6" s="13">
        <f>GovByAssemblyDistrict107General[[#This Row],[Total Votes by Party]]</f>
        <v>1579</v>
      </c>
    </row>
    <row r="7" spans="1:6" x14ac:dyDescent="0.2">
      <c r="A7" s="2" t="s">
        <v>7</v>
      </c>
      <c r="B7" s="3">
        <v>269</v>
      </c>
      <c r="C7" s="3">
        <v>646</v>
      </c>
      <c r="D7" s="3">
        <v>31</v>
      </c>
      <c r="E7" s="12">
        <f>SUM(GovByAssemblyDistrict107General[[#This Row],[Part of Columbia County Vote Results]:[Part of Washington County Vote Results]])</f>
        <v>946</v>
      </c>
      <c r="F7" s="14"/>
    </row>
    <row r="8" spans="1:6" x14ac:dyDescent="0.2">
      <c r="A8" s="2" t="s">
        <v>8</v>
      </c>
      <c r="B8" s="3">
        <v>137</v>
      </c>
      <c r="C8" s="3">
        <v>687</v>
      </c>
      <c r="D8" s="3">
        <v>14</v>
      </c>
      <c r="E8" s="12">
        <f>SUM(GovByAssemblyDistrict107General[[#This Row],[Part of Columbia County Vote Results]:[Part of Washington County Vote Results]])</f>
        <v>838</v>
      </c>
      <c r="F8" s="14"/>
    </row>
    <row r="9" spans="1:6" x14ac:dyDescent="0.2">
      <c r="A9" s="2" t="s">
        <v>9</v>
      </c>
      <c r="B9" s="3">
        <v>86</v>
      </c>
      <c r="C9" s="3">
        <v>296</v>
      </c>
      <c r="D9" s="3">
        <v>17</v>
      </c>
      <c r="E9" s="12">
        <f>SUM(GovByAssemblyDistrict107General[[#This Row],[Part of Columbia County Vote Results]:[Part of Washington County Vote Results]])</f>
        <v>399</v>
      </c>
      <c r="F9" s="14"/>
    </row>
    <row r="10" spans="1:6" x14ac:dyDescent="0.2">
      <c r="A10" s="2" t="s">
        <v>16</v>
      </c>
      <c r="B10" s="3">
        <v>94</v>
      </c>
      <c r="C10" s="3">
        <v>475</v>
      </c>
      <c r="D10" s="3">
        <v>18</v>
      </c>
      <c r="E10" s="12">
        <f>SUM(GovByAssemblyDistrict107General[[#This Row],[Part of Columbia County Vote Results]:[Part of Washington County Vote Results]])</f>
        <v>587</v>
      </c>
      <c r="F10" s="14"/>
    </row>
    <row r="11" spans="1:6" x14ac:dyDescent="0.2">
      <c r="A11" s="2" t="s">
        <v>10</v>
      </c>
      <c r="B11" s="3">
        <v>154</v>
      </c>
      <c r="C11" s="3">
        <v>1047</v>
      </c>
      <c r="D11" s="3">
        <v>62</v>
      </c>
      <c r="E11" s="12">
        <f>SUM(GovByAssemblyDistrict107General[[#This Row],[Part of Columbia County Vote Results]:[Part of Washington County Vote Results]])</f>
        <v>1263</v>
      </c>
      <c r="F11" s="13">
        <f>GovByAssemblyDistrict107General[[#This Row],[Total Votes by Party]]</f>
        <v>1263</v>
      </c>
    </row>
    <row r="12" spans="1:6" x14ac:dyDescent="0.2">
      <c r="A12" s="4" t="s">
        <v>11</v>
      </c>
      <c r="B12" s="3">
        <v>168</v>
      </c>
      <c r="C12" s="3">
        <v>909</v>
      </c>
      <c r="D12" s="3">
        <v>31</v>
      </c>
      <c r="E12" s="12">
        <f>SUM(GovByAssemblyDistrict107General[[#This Row],[Part of Columbia County Vote Results]:[Part of Washington County Vote Results]])</f>
        <v>1108</v>
      </c>
      <c r="F12" s="13">
        <f>GovByAssemblyDistrict107General[[#This Row],[Total Votes by Party]]</f>
        <v>1108</v>
      </c>
    </row>
    <row r="13" spans="1:6" x14ac:dyDescent="0.2">
      <c r="A13" s="4" t="s">
        <v>0</v>
      </c>
      <c r="B13" s="3">
        <v>205</v>
      </c>
      <c r="C13" s="3">
        <v>1445</v>
      </c>
      <c r="D13" s="3">
        <v>3</v>
      </c>
      <c r="E13" s="12">
        <f>SUM(GovByAssemblyDistrict107General[[#This Row],[Part of Columbia County Vote Results]:[Part of Washington County Vote Results]])</f>
        <v>1653</v>
      </c>
      <c r="F13" s="14"/>
    </row>
    <row r="14" spans="1:6" x14ac:dyDescent="0.2">
      <c r="A14" s="4" t="s">
        <v>1</v>
      </c>
      <c r="B14" s="3">
        <v>12</v>
      </c>
      <c r="C14" s="3">
        <v>0</v>
      </c>
      <c r="D14" s="3">
        <v>0</v>
      </c>
      <c r="E14" s="12">
        <f>SUM(GovByAssemblyDistrict107General[[#This Row],[Part of Columbia County Vote Results]:[Part of Washington County Vote Results]])</f>
        <v>12</v>
      </c>
      <c r="F14" s="14"/>
    </row>
    <row r="15" spans="1:6" x14ac:dyDescent="0.2">
      <c r="A15" s="4" t="s">
        <v>2</v>
      </c>
      <c r="B15" s="5">
        <v>21</v>
      </c>
      <c r="C15" s="5">
        <v>46</v>
      </c>
      <c r="D15" s="5">
        <v>0</v>
      </c>
      <c r="E15" s="12">
        <f>SUM(GovByAssemblyDistrict107General[[#This Row],[Part of Columbia County Vote Results]:[Part of Washington County Vote Results]])</f>
        <v>67</v>
      </c>
      <c r="F15" s="14"/>
    </row>
    <row r="16" spans="1:6" hidden="1" x14ac:dyDescent="0.2">
      <c r="A16" s="4" t="s">
        <v>4</v>
      </c>
      <c r="B16" s="6">
        <f>SUBTOTAL(109,GovByAssemblyDistrict107General[Part of Columbia County Vote Results])</f>
        <v>10947</v>
      </c>
      <c r="C16" s="6"/>
      <c r="D16" s="6">
        <f>SUBTOTAL(109,GovByAssemblyDistrict107General[Part of Washington County Vote Results])</f>
        <v>2166</v>
      </c>
      <c r="E16" s="6"/>
      <c r="F16" s="9"/>
    </row>
  </sheetData>
  <pageMargins left="0.7" right="0.7" top="0.75" bottom="0.75" header="0.3" footer="0.3"/>
  <tableParts count="1">
    <tablePart r:id="rId1"/>
  </tableParts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13C7E-4595-4B23-90C5-A5CFB7CCACBD}">
  <dimension ref="A1:F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6" width="20.5703125" customWidth="1"/>
    <col min="7" max="8" width="23.5703125" customWidth="1"/>
  </cols>
  <sheetData>
    <row r="1" spans="1:6" ht="24.75" customHeight="1" x14ac:dyDescent="0.2">
      <c r="A1" s="1" t="s">
        <v>147</v>
      </c>
    </row>
    <row r="2" spans="1:6" ht="25.5" x14ac:dyDescent="0.2">
      <c r="A2" s="7" t="s">
        <v>12</v>
      </c>
      <c r="B2" s="8" t="s">
        <v>137</v>
      </c>
      <c r="C2" s="8" t="s">
        <v>145</v>
      </c>
      <c r="D2" s="8" t="s">
        <v>148</v>
      </c>
      <c r="E2" s="10" t="s">
        <v>228</v>
      </c>
      <c r="F2" s="11" t="s">
        <v>5</v>
      </c>
    </row>
    <row r="3" spans="1:6" x14ac:dyDescent="0.2">
      <c r="A3" s="2" t="s">
        <v>3</v>
      </c>
      <c r="B3" s="3">
        <v>10273</v>
      </c>
      <c r="C3" s="3">
        <v>6850</v>
      </c>
      <c r="D3" s="3">
        <v>1061</v>
      </c>
      <c r="E3" s="12">
        <f>SUM(GovByAssemblyDistrict108General[[#This Row],[Part of Albany County Vote Results]:[Part of Saratoga County Vote Results]])</f>
        <v>18184</v>
      </c>
      <c r="F3" s="13">
        <f>SUM(E3,E7,E8,E9)</f>
        <v>19638</v>
      </c>
    </row>
    <row r="4" spans="1:6" x14ac:dyDescent="0.2">
      <c r="A4" s="2" t="s">
        <v>14</v>
      </c>
      <c r="B4" s="3">
        <v>3890</v>
      </c>
      <c r="C4" s="3">
        <v>5509</v>
      </c>
      <c r="D4" s="3">
        <v>1489</v>
      </c>
      <c r="E4" s="12">
        <f>SUM(GovByAssemblyDistrict108General[[#This Row],[Part of Albany County Vote Results]:[Part of Saratoga County Vote Results]])</f>
        <v>10888</v>
      </c>
      <c r="F4" s="13">
        <f>SUM(E4,E5,E10)</f>
        <v>13154</v>
      </c>
    </row>
    <row r="5" spans="1:6" x14ac:dyDescent="0.2">
      <c r="A5" s="2" t="s">
        <v>15</v>
      </c>
      <c r="B5" s="3">
        <v>680</v>
      </c>
      <c r="C5" s="3">
        <v>1083</v>
      </c>
      <c r="D5" s="3">
        <v>229</v>
      </c>
      <c r="E5" s="12">
        <f>SUM(GovByAssemblyDistrict108General[[#This Row],[Part of Albany County Vote Results]:[Part of Saratoga County Vote Results]])</f>
        <v>1992</v>
      </c>
      <c r="F5" s="14"/>
    </row>
    <row r="6" spans="1:6" x14ac:dyDescent="0.2">
      <c r="A6" s="2" t="s">
        <v>6</v>
      </c>
      <c r="B6" s="3">
        <v>530</v>
      </c>
      <c r="C6" s="3">
        <v>589</v>
      </c>
      <c r="D6" s="3">
        <v>64</v>
      </c>
      <c r="E6" s="12">
        <f>SUM(GovByAssemblyDistrict108General[[#This Row],[Part of Albany County Vote Results]:[Part of Saratoga County Vote Results]])</f>
        <v>1183</v>
      </c>
      <c r="F6" s="13">
        <f>GovByAssemblyDistrict108General[[#This Row],[Total Votes by Party]]</f>
        <v>1183</v>
      </c>
    </row>
    <row r="7" spans="1:6" x14ac:dyDescent="0.2">
      <c r="A7" s="2" t="s">
        <v>7</v>
      </c>
      <c r="B7" s="3">
        <v>380</v>
      </c>
      <c r="C7" s="3">
        <v>316</v>
      </c>
      <c r="D7" s="3">
        <v>27</v>
      </c>
      <c r="E7" s="12">
        <f>SUM(GovByAssemblyDistrict108General[[#This Row],[Part of Albany County Vote Results]:[Part of Saratoga County Vote Results]])</f>
        <v>723</v>
      </c>
      <c r="F7" s="14"/>
    </row>
    <row r="8" spans="1:6" x14ac:dyDescent="0.2">
      <c r="A8" s="2" t="s">
        <v>8</v>
      </c>
      <c r="B8" s="3">
        <v>155</v>
      </c>
      <c r="C8" s="3">
        <v>273</v>
      </c>
      <c r="D8" s="3">
        <v>34</v>
      </c>
      <c r="E8" s="12">
        <f>SUM(GovByAssemblyDistrict108General[[#This Row],[Part of Albany County Vote Results]:[Part of Saratoga County Vote Results]])</f>
        <v>462</v>
      </c>
      <c r="F8" s="14"/>
    </row>
    <row r="9" spans="1:6" x14ac:dyDescent="0.2">
      <c r="A9" s="2" t="s">
        <v>9</v>
      </c>
      <c r="B9" s="3">
        <v>112</v>
      </c>
      <c r="C9" s="3">
        <v>141</v>
      </c>
      <c r="D9" s="3">
        <v>16</v>
      </c>
      <c r="E9" s="12">
        <f>SUM(GovByAssemblyDistrict108General[[#This Row],[Part of Albany County Vote Results]:[Part of Saratoga County Vote Results]])</f>
        <v>269</v>
      </c>
      <c r="F9" s="14"/>
    </row>
    <row r="10" spans="1:6" x14ac:dyDescent="0.2">
      <c r="A10" s="2" t="s">
        <v>16</v>
      </c>
      <c r="B10" s="3">
        <v>91</v>
      </c>
      <c r="C10" s="3">
        <v>158</v>
      </c>
      <c r="D10" s="3">
        <v>25</v>
      </c>
      <c r="E10" s="12">
        <f>SUM(GovByAssemblyDistrict108General[[#This Row],[Part of Albany County Vote Results]:[Part of Saratoga County Vote Results]])</f>
        <v>274</v>
      </c>
      <c r="F10" s="14"/>
    </row>
    <row r="11" spans="1:6" x14ac:dyDescent="0.2">
      <c r="A11" s="2" t="s">
        <v>10</v>
      </c>
      <c r="B11" s="3">
        <v>271</v>
      </c>
      <c r="C11" s="3">
        <v>329</v>
      </c>
      <c r="D11" s="3">
        <v>113</v>
      </c>
      <c r="E11" s="12">
        <f>SUM(GovByAssemblyDistrict108General[[#This Row],[Part of Albany County Vote Results]:[Part of Saratoga County Vote Results]])</f>
        <v>713</v>
      </c>
      <c r="F11" s="13">
        <f>GovByAssemblyDistrict108General[[#This Row],[Total Votes by Party]]</f>
        <v>713</v>
      </c>
    </row>
    <row r="12" spans="1:6" x14ac:dyDescent="0.2">
      <c r="A12" s="4" t="s">
        <v>11</v>
      </c>
      <c r="B12" s="3">
        <v>322</v>
      </c>
      <c r="C12" s="3">
        <v>361</v>
      </c>
      <c r="D12" s="3">
        <v>78</v>
      </c>
      <c r="E12" s="12">
        <f>SUM(GovByAssemblyDistrict108General[[#This Row],[Part of Albany County Vote Results]:[Part of Saratoga County Vote Results]])</f>
        <v>761</v>
      </c>
      <c r="F12" s="13">
        <f>GovByAssemblyDistrict108General[[#This Row],[Total Votes by Party]]</f>
        <v>761</v>
      </c>
    </row>
    <row r="13" spans="1:6" x14ac:dyDescent="0.2">
      <c r="A13" s="4" t="s">
        <v>0</v>
      </c>
      <c r="B13" s="3">
        <v>586</v>
      </c>
      <c r="C13" s="3">
        <v>532</v>
      </c>
      <c r="D13" s="3">
        <v>79</v>
      </c>
      <c r="E13" s="12">
        <f>SUM(GovByAssemblyDistrict108General[[#This Row],[Part of Albany County Vote Results]:[Part of Saratoga County Vote Results]])</f>
        <v>1197</v>
      </c>
      <c r="F13" s="14"/>
    </row>
    <row r="14" spans="1:6" x14ac:dyDescent="0.2">
      <c r="A14" s="4" t="s">
        <v>1</v>
      </c>
      <c r="B14" s="3">
        <v>55</v>
      </c>
      <c r="C14" s="3">
        <v>2</v>
      </c>
      <c r="D14" s="3">
        <v>2</v>
      </c>
      <c r="E14" s="12">
        <f>SUM(GovByAssemblyDistrict108General[[#This Row],[Part of Albany County Vote Results]:[Part of Saratoga County Vote Results]])</f>
        <v>59</v>
      </c>
      <c r="F14" s="14"/>
    </row>
    <row r="15" spans="1:6" x14ac:dyDescent="0.2">
      <c r="A15" s="4" t="s">
        <v>2</v>
      </c>
      <c r="B15" s="5">
        <v>0</v>
      </c>
      <c r="C15" s="5">
        <v>11</v>
      </c>
      <c r="D15" s="5">
        <v>4</v>
      </c>
      <c r="E15" s="12">
        <f>SUM(GovByAssemblyDistrict108General[[#This Row],[Part of Albany County Vote Results]:[Part of Saratoga County Vote Results]])</f>
        <v>15</v>
      </c>
      <c r="F15" s="14"/>
    </row>
    <row r="16" spans="1:6" hidden="1" x14ac:dyDescent="0.2">
      <c r="A16" s="4" t="s">
        <v>4</v>
      </c>
      <c r="B16" s="6">
        <f>SUBTOTAL(109,GovByAssemblyDistrict108General[Part of Albany County Vote Results])</f>
        <v>17345</v>
      </c>
      <c r="C16" s="6"/>
      <c r="D16" s="6">
        <f>SUBTOTAL(109,GovByAssemblyDistrict108General[Part of Saratoga County Vote Results])</f>
        <v>3221</v>
      </c>
      <c r="E16" s="6"/>
      <c r="F16" s="9"/>
    </row>
  </sheetData>
  <pageMargins left="0.7" right="0.7" top="0.75" bottom="0.75" header="0.3" footer="0.3"/>
  <tableParts count="1">
    <tablePart r:id="rId1"/>
  </tableParts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713DB-63B7-4820-BB99-1ED54428E9D7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149</v>
      </c>
    </row>
    <row r="2" spans="1:4" ht="24.95" customHeight="1" x14ac:dyDescent="0.2">
      <c r="A2" s="7" t="s">
        <v>12</v>
      </c>
      <c r="B2" s="8" t="s">
        <v>137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27887</v>
      </c>
      <c r="C3" s="12">
        <f>GovByAssemblyDistrict109General[[#This Row],[Part of Albany County Vote Results]]</f>
        <v>27887</v>
      </c>
      <c r="D3" s="13">
        <f>SUM(C3,C7,C8,C9)</f>
        <v>30719</v>
      </c>
    </row>
    <row r="4" spans="1:4" x14ac:dyDescent="0.2">
      <c r="A4" s="2" t="s">
        <v>14</v>
      </c>
      <c r="B4" s="3">
        <v>16779</v>
      </c>
      <c r="C4" s="12">
        <f>GovByAssemblyDistrict109General[[#This Row],[Part of Albany County Vote Results]]</f>
        <v>16779</v>
      </c>
      <c r="D4" s="13">
        <f>SUM(C4,C5,C10)</f>
        <v>20166</v>
      </c>
    </row>
    <row r="5" spans="1:4" x14ac:dyDescent="0.2">
      <c r="A5" s="2" t="s">
        <v>15</v>
      </c>
      <c r="B5" s="3">
        <v>2982</v>
      </c>
      <c r="C5" s="12">
        <f>GovByAssemblyDistrict109General[[#This Row],[Part of Albany County Vote Results]]</f>
        <v>2982</v>
      </c>
      <c r="D5" s="14"/>
    </row>
    <row r="6" spans="1:4" x14ac:dyDescent="0.2">
      <c r="A6" s="2" t="s">
        <v>6</v>
      </c>
      <c r="B6" s="3">
        <v>2053</v>
      </c>
      <c r="C6" s="12">
        <f>GovByAssemblyDistrict109General[[#This Row],[Part of Albany County Vote Results]]</f>
        <v>2053</v>
      </c>
      <c r="D6" s="13">
        <f>GovByAssemblyDistrict109General[[#This Row],[Total Votes by Party]]</f>
        <v>2053</v>
      </c>
    </row>
    <row r="7" spans="1:4" x14ac:dyDescent="0.2">
      <c r="A7" s="2" t="s">
        <v>7</v>
      </c>
      <c r="B7" s="3">
        <v>1557</v>
      </c>
      <c r="C7" s="12">
        <f>GovByAssemblyDistrict109General[[#This Row],[Part of Albany County Vote Results]]</f>
        <v>1557</v>
      </c>
      <c r="D7" s="14"/>
    </row>
    <row r="8" spans="1:4" x14ac:dyDescent="0.2">
      <c r="A8" s="2" t="s">
        <v>8</v>
      </c>
      <c r="B8" s="3">
        <v>752</v>
      </c>
      <c r="C8" s="12">
        <f>GovByAssemblyDistrict109General[[#This Row],[Part of Albany County Vote Results]]</f>
        <v>752</v>
      </c>
      <c r="D8" s="14"/>
    </row>
    <row r="9" spans="1:4" x14ac:dyDescent="0.2">
      <c r="A9" s="2" t="s">
        <v>9</v>
      </c>
      <c r="B9" s="3">
        <v>523</v>
      </c>
      <c r="C9" s="12">
        <f>GovByAssemblyDistrict109General[[#This Row],[Part of Albany County Vote Results]]</f>
        <v>523</v>
      </c>
      <c r="D9" s="14"/>
    </row>
    <row r="10" spans="1:4" x14ac:dyDescent="0.2">
      <c r="A10" s="2" t="s">
        <v>16</v>
      </c>
      <c r="B10" s="3">
        <v>405</v>
      </c>
      <c r="C10" s="12">
        <f>GovByAssemblyDistrict109General[[#This Row],[Part of Albany County Vote Results]]</f>
        <v>405</v>
      </c>
      <c r="D10" s="14"/>
    </row>
    <row r="11" spans="1:4" x14ac:dyDescent="0.2">
      <c r="A11" s="2" t="s">
        <v>10</v>
      </c>
      <c r="B11" s="3">
        <v>884</v>
      </c>
      <c r="C11" s="12">
        <f>GovByAssemblyDistrict109General[[#This Row],[Part of Albany County Vote Results]]</f>
        <v>884</v>
      </c>
      <c r="D11" s="13">
        <f>GovByAssemblyDistrict109General[[#This Row],[Total Votes by Party]]</f>
        <v>884</v>
      </c>
    </row>
    <row r="12" spans="1:4" x14ac:dyDescent="0.2">
      <c r="A12" s="4" t="s">
        <v>11</v>
      </c>
      <c r="B12" s="5">
        <v>1813</v>
      </c>
      <c r="C12" s="12">
        <f>GovByAssemblyDistrict109General[[#This Row],[Part of Albany County Vote Results]]</f>
        <v>1813</v>
      </c>
      <c r="D12" s="13">
        <f>GovByAssemblyDistrict109General[[#This Row],[Total Votes by Party]]</f>
        <v>1813</v>
      </c>
    </row>
    <row r="13" spans="1:4" x14ac:dyDescent="0.2">
      <c r="A13" s="4" t="s">
        <v>0</v>
      </c>
      <c r="B13" s="5">
        <v>1382</v>
      </c>
      <c r="C13" s="12">
        <f>GovByAssemblyDistrict109General[[#This Row],[Part of Albany County Vote Results]]</f>
        <v>1382</v>
      </c>
      <c r="D13" s="14"/>
    </row>
    <row r="14" spans="1:4" x14ac:dyDescent="0.2">
      <c r="A14" s="4" t="s">
        <v>1</v>
      </c>
      <c r="B14" s="5">
        <v>123</v>
      </c>
      <c r="C14" s="12">
        <f>GovByAssemblyDistrict109General[[#This Row],[Part of Albany County Vote Results]]</f>
        <v>123</v>
      </c>
      <c r="D14" s="14"/>
    </row>
    <row r="15" spans="1:4" x14ac:dyDescent="0.2">
      <c r="A15" s="4" t="s">
        <v>2</v>
      </c>
      <c r="B15" s="5">
        <v>0</v>
      </c>
      <c r="C15" s="12">
        <f>GovByAssemblyDistrict109General[[#This Row],[Part of Albany County Vote Results]]</f>
        <v>0</v>
      </c>
      <c r="D15" s="14"/>
    </row>
    <row r="16" spans="1:4" hidden="1" x14ac:dyDescent="0.2">
      <c r="A16" s="4" t="s">
        <v>4</v>
      </c>
      <c r="B16" s="6">
        <f>SUBTOTAL(109,GovByAssemblyDistrict109General[Total Votes by Candidate])</f>
        <v>55635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B95FA-2080-41D3-939C-0E370487BC1F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28</v>
      </c>
    </row>
    <row r="2" spans="1:4" ht="24.95" customHeight="1" x14ac:dyDescent="0.2">
      <c r="A2" s="7" t="s">
        <v>12</v>
      </c>
      <c r="B2" s="8" t="s">
        <v>13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22142</v>
      </c>
      <c r="C3" s="12">
        <f>GovByAssemblyDistrict11General[[#This Row],[Part of Suffolk County Vote Results]]</f>
        <v>22142</v>
      </c>
      <c r="D3" s="13">
        <f>SUM(C3,C7,C8,C9)</f>
        <v>23135</v>
      </c>
    </row>
    <row r="4" spans="1:4" x14ac:dyDescent="0.2">
      <c r="A4" s="2" t="s">
        <v>14</v>
      </c>
      <c r="B4" s="3">
        <v>12115</v>
      </c>
      <c r="C4" s="12">
        <f>GovByAssemblyDistrict11General[[#This Row],[Part of Suffolk County Vote Results]]</f>
        <v>12115</v>
      </c>
      <c r="D4" s="13">
        <f>SUM(C4,C5,C10)</f>
        <v>13524</v>
      </c>
    </row>
    <row r="5" spans="1:4" x14ac:dyDescent="0.2">
      <c r="A5" s="2" t="s">
        <v>15</v>
      </c>
      <c r="B5" s="3">
        <v>1317</v>
      </c>
      <c r="C5" s="12">
        <f>GovByAssemblyDistrict11General[[#This Row],[Part of Suffolk County Vote Results]]</f>
        <v>1317</v>
      </c>
      <c r="D5" s="14"/>
    </row>
    <row r="6" spans="1:4" x14ac:dyDescent="0.2">
      <c r="A6" s="2" t="s">
        <v>6</v>
      </c>
      <c r="B6" s="3">
        <v>313</v>
      </c>
      <c r="C6" s="12">
        <f>GovByAssemblyDistrict11General[[#This Row],[Part of Suffolk County Vote Results]]</f>
        <v>313</v>
      </c>
      <c r="D6" s="13">
        <f>GovByAssemblyDistrict11General[[#This Row],[Total Votes by Party]]</f>
        <v>313</v>
      </c>
    </row>
    <row r="7" spans="1:4" x14ac:dyDescent="0.2">
      <c r="A7" s="2" t="s">
        <v>7</v>
      </c>
      <c r="B7" s="3">
        <v>431</v>
      </c>
      <c r="C7" s="12">
        <f>GovByAssemblyDistrict11General[[#This Row],[Part of Suffolk County Vote Results]]</f>
        <v>431</v>
      </c>
      <c r="D7" s="14"/>
    </row>
    <row r="8" spans="1:4" x14ac:dyDescent="0.2">
      <c r="A8" s="2" t="s">
        <v>8</v>
      </c>
      <c r="B8" s="3">
        <v>365</v>
      </c>
      <c r="C8" s="12">
        <f>GovByAssemblyDistrict11General[[#This Row],[Part of Suffolk County Vote Results]]</f>
        <v>365</v>
      </c>
      <c r="D8" s="14"/>
    </row>
    <row r="9" spans="1:4" x14ac:dyDescent="0.2">
      <c r="A9" s="2" t="s">
        <v>9</v>
      </c>
      <c r="B9" s="3">
        <v>197</v>
      </c>
      <c r="C9" s="12">
        <f>GovByAssemblyDistrict11General[[#This Row],[Part of Suffolk County Vote Results]]</f>
        <v>197</v>
      </c>
      <c r="D9" s="14"/>
    </row>
    <row r="10" spans="1:4" x14ac:dyDescent="0.2">
      <c r="A10" s="2" t="s">
        <v>16</v>
      </c>
      <c r="B10" s="3">
        <v>92</v>
      </c>
      <c r="C10" s="12">
        <f>GovByAssemblyDistrict11General[[#This Row],[Part of Suffolk County Vote Results]]</f>
        <v>92</v>
      </c>
      <c r="D10" s="14"/>
    </row>
    <row r="11" spans="1:4" x14ac:dyDescent="0.2">
      <c r="A11" s="2" t="s">
        <v>10</v>
      </c>
      <c r="B11" s="3">
        <v>252</v>
      </c>
      <c r="C11" s="12">
        <f>GovByAssemblyDistrict11General[[#This Row],[Part of Suffolk County Vote Results]]</f>
        <v>252</v>
      </c>
      <c r="D11" s="13">
        <f>GovByAssemblyDistrict11General[[#This Row],[Total Votes by Party]]</f>
        <v>252</v>
      </c>
    </row>
    <row r="12" spans="1:4" x14ac:dyDescent="0.2">
      <c r="A12" s="4" t="s">
        <v>11</v>
      </c>
      <c r="B12" s="5">
        <v>177</v>
      </c>
      <c r="C12" s="12">
        <f>GovByAssemblyDistrict11General[[#This Row],[Part of Suffolk County Vote Results]]</f>
        <v>177</v>
      </c>
      <c r="D12" s="13">
        <f>GovByAssemblyDistrict11General[[#This Row],[Total Votes by Party]]</f>
        <v>177</v>
      </c>
    </row>
    <row r="13" spans="1:4" x14ac:dyDescent="0.2">
      <c r="A13" s="4" t="s">
        <v>0</v>
      </c>
      <c r="B13" s="5">
        <v>501</v>
      </c>
      <c r="C13" s="12">
        <f>GovByAssemblyDistrict11General[[#This Row],[Part of Suffolk County Vote Results]]</f>
        <v>501</v>
      </c>
      <c r="D13" s="14"/>
    </row>
    <row r="14" spans="1:4" x14ac:dyDescent="0.2">
      <c r="A14" s="4" t="s">
        <v>1</v>
      </c>
      <c r="B14" s="5">
        <v>33</v>
      </c>
      <c r="C14" s="12">
        <f>GovByAssemblyDistrict11General[[#This Row],[Part of Suffolk County Vote Results]]</f>
        <v>33</v>
      </c>
      <c r="D14" s="14"/>
    </row>
    <row r="15" spans="1:4" x14ac:dyDescent="0.2">
      <c r="A15" s="4" t="s">
        <v>2</v>
      </c>
      <c r="B15" s="5">
        <v>4</v>
      </c>
      <c r="C15" s="12">
        <f>GovByAssemblyDistrict11General[[#This Row],[Part of Suffolk County Vote Results]]</f>
        <v>4</v>
      </c>
      <c r="D15" s="14"/>
    </row>
    <row r="16" spans="1:4" hidden="1" x14ac:dyDescent="0.2">
      <c r="A16" s="4" t="s">
        <v>4</v>
      </c>
      <c r="B16" s="6">
        <f>SUBTOTAL(109,GovByAssemblyDistrict11General[Total Votes by Candidate])</f>
        <v>37401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70EAE-83A9-43D9-AC9D-841CF37080E4}">
  <dimension ref="A1:E16"/>
  <sheetViews>
    <sheetView workbookViewId="0">
      <selection activeCell="C12" sqref="C12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24.75" customHeight="1" x14ac:dyDescent="0.2">
      <c r="A1" s="1" t="s">
        <v>150</v>
      </c>
    </row>
    <row r="2" spans="1:5" ht="25.5" x14ac:dyDescent="0.2">
      <c r="A2" s="7" t="s">
        <v>12</v>
      </c>
      <c r="B2" s="8" t="s">
        <v>137</v>
      </c>
      <c r="C2" s="8" t="s">
        <v>151</v>
      </c>
      <c r="D2" s="10" t="s">
        <v>228</v>
      </c>
      <c r="E2" s="11" t="s">
        <v>5</v>
      </c>
    </row>
    <row r="3" spans="1:5" x14ac:dyDescent="0.2">
      <c r="A3" s="2" t="s">
        <v>3</v>
      </c>
      <c r="B3" s="3">
        <v>14639</v>
      </c>
      <c r="C3" s="3">
        <v>9218</v>
      </c>
      <c r="D3" s="12">
        <f>SUM(GovByAssemblyDistrict110General[[#This Row],[Part of Albany County Vote Results]:[Part of Schenectady County Vote Results]])</f>
        <v>23857</v>
      </c>
      <c r="E3" s="13">
        <f>SUM(D3,D7,D8,D9)</f>
        <v>25772</v>
      </c>
    </row>
    <row r="4" spans="1:5" x14ac:dyDescent="0.2">
      <c r="A4" s="2" t="s">
        <v>14</v>
      </c>
      <c r="B4" s="3">
        <v>13775</v>
      </c>
      <c r="C4" s="3">
        <v>6558</v>
      </c>
      <c r="D4" s="12">
        <f>SUM(GovByAssemblyDistrict110General[[#This Row],[Part of Albany County Vote Results]:[Part of Schenectady County Vote Results]])</f>
        <v>20333</v>
      </c>
      <c r="E4" s="13">
        <f>SUM(D4,D5,D10)</f>
        <v>23759</v>
      </c>
    </row>
    <row r="5" spans="1:5" x14ac:dyDescent="0.2">
      <c r="A5" s="2" t="s">
        <v>15</v>
      </c>
      <c r="B5" s="3">
        <v>2103</v>
      </c>
      <c r="C5" s="3">
        <v>946</v>
      </c>
      <c r="D5" s="12">
        <f>SUM(GovByAssemblyDistrict110General[[#This Row],[Part of Albany County Vote Results]:[Part of Schenectady County Vote Results]])</f>
        <v>3049</v>
      </c>
      <c r="E5" s="14"/>
    </row>
    <row r="6" spans="1:5" x14ac:dyDescent="0.2">
      <c r="A6" s="2" t="s">
        <v>6</v>
      </c>
      <c r="B6" s="3">
        <v>744</v>
      </c>
      <c r="C6" s="3">
        <v>607</v>
      </c>
      <c r="D6" s="12">
        <f>SUM(GovByAssemblyDistrict110General[[#This Row],[Part of Albany County Vote Results]:[Part of Schenectady County Vote Results]])</f>
        <v>1351</v>
      </c>
      <c r="E6" s="13">
        <f>GovByAssemblyDistrict110General[[#This Row],[Total Votes by Party]]</f>
        <v>1351</v>
      </c>
    </row>
    <row r="7" spans="1:5" x14ac:dyDescent="0.2">
      <c r="A7" s="2" t="s">
        <v>7</v>
      </c>
      <c r="B7" s="3">
        <v>448</v>
      </c>
      <c r="C7" s="3">
        <v>412</v>
      </c>
      <c r="D7" s="12">
        <f>SUM(GovByAssemblyDistrict110General[[#This Row],[Part of Albany County Vote Results]:[Part of Schenectady County Vote Results]])</f>
        <v>860</v>
      </c>
      <c r="E7" s="14"/>
    </row>
    <row r="8" spans="1:5" x14ac:dyDescent="0.2">
      <c r="A8" s="2" t="s">
        <v>8</v>
      </c>
      <c r="B8" s="3">
        <v>417</v>
      </c>
      <c r="C8" s="3">
        <v>292</v>
      </c>
      <c r="D8" s="12">
        <f>SUM(GovByAssemblyDistrict110General[[#This Row],[Part of Albany County Vote Results]:[Part of Schenectady County Vote Results]])</f>
        <v>709</v>
      </c>
      <c r="E8" s="14"/>
    </row>
    <row r="9" spans="1:5" x14ac:dyDescent="0.2">
      <c r="A9" s="2" t="s">
        <v>9</v>
      </c>
      <c r="B9" s="3">
        <v>205</v>
      </c>
      <c r="C9" s="3">
        <v>141</v>
      </c>
      <c r="D9" s="12">
        <f>SUM(GovByAssemblyDistrict110General[[#This Row],[Part of Albany County Vote Results]:[Part of Schenectady County Vote Results]])</f>
        <v>346</v>
      </c>
      <c r="E9" s="14"/>
    </row>
    <row r="10" spans="1:5" x14ac:dyDescent="0.2">
      <c r="A10" s="2" t="s">
        <v>16</v>
      </c>
      <c r="B10" s="3">
        <v>255</v>
      </c>
      <c r="C10" s="3">
        <v>122</v>
      </c>
      <c r="D10" s="12">
        <f>SUM(GovByAssemblyDistrict110General[[#This Row],[Part of Albany County Vote Results]:[Part of Schenectady County Vote Results]])</f>
        <v>377</v>
      </c>
      <c r="E10" s="14"/>
    </row>
    <row r="11" spans="1:5" x14ac:dyDescent="0.2">
      <c r="A11" s="2" t="s">
        <v>10</v>
      </c>
      <c r="B11" s="3">
        <v>545</v>
      </c>
      <c r="C11" s="3">
        <v>312</v>
      </c>
      <c r="D11" s="12">
        <f>SUM(GovByAssemblyDistrict110General[[#This Row],[Part of Albany County Vote Results]:[Part of Schenectady County Vote Results]])</f>
        <v>857</v>
      </c>
      <c r="E11" s="13">
        <f>GovByAssemblyDistrict110General[[#This Row],[Total Votes by Party]]</f>
        <v>857</v>
      </c>
    </row>
    <row r="12" spans="1:5" x14ac:dyDescent="0.2">
      <c r="A12" s="4" t="s">
        <v>11</v>
      </c>
      <c r="B12" s="3">
        <v>737</v>
      </c>
      <c r="C12" s="3">
        <v>385</v>
      </c>
      <c r="D12" s="12">
        <f>SUM(GovByAssemblyDistrict110General[[#This Row],[Part of Albany County Vote Results]:[Part of Schenectady County Vote Results]])</f>
        <v>1122</v>
      </c>
      <c r="E12" s="13">
        <f>GovByAssemblyDistrict110General[[#This Row],[Total Votes by Party]]</f>
        <v>1122</v>
      </c>
    </row>
    <row r="13" spans="1:5" x14ac:dyDescent="0.2">
      <c r="A13" s="4" t="s">
        <v>0</v>
      </c>
      <c r="B13" s="3">
        <v>677</v>
      </c>
      <c r="C13" s="3">
        <v>263</v>
      </c>
      <c r="D13" s="12">
        <f>SUM(GovByAssemblyDistrict110General[[#This Row],[Part of Albany County Vote Results]:[Part of Schenectady County Vote Results]])</f>
        <v>940</v>
      </c>
      <c r="E13" s="14"/>
    </row>
    <row r="14" spans="1:5" x14ac:dyDescent="0.2">
      <c r="A14" s="4" t="s">
        <v>1</v>
      </c>
      <c r="B14" s="3">
        <v>74</v>
      </c>
      <c r="C14" s="3">
        <v>73</v>
      </c>
      <c r="D14" s="12">
        <f>SUM(GovByAssemblyDistrict110General[[#This Row],[Part of Albany County Vote Results]:[Part of Schenectady County Vote Results]])</f>
        <v>147</v>
      </c>
      <c r="E14" s="14"/>
    </row>
    <row r="15" spans="1:5" x14ac:dyDescent="0.2">
      <c r="A15" s="4" t="s">
        <v>2</v>
      </c>
      <c r="B15" s="5">
        <v>0</v>
      </c>
      <c r="C15" s="5">
        <v>26</v>
      </c>
      <c r="D15" s="12">
        <f>SUM(GovByAssemblyDistrict110General[[#This Row],[Part of Albany County Vote Results]:[Part of Schenectady County Vote Results]])</f>
        <v>26</v>
      </c>
      <c r="E15" s="14"/>
    </row>
    <row r="16" spans="1:5" hidden="1" x14ac:dyDescent="0.2">
      <c r="A16" s="4" t="s">
        <v>4</v>
      </c>
      <c r="B16" s="6">
        <f>SUBTOTAL(109,GovByAssemblyDistrict110General[Part of Albany County Vote Results])</f>
        <v>34619</v>
      </c>
      <c r="C16" s="6">
        <f>SUBTOTAL(109,GovByAssemblyDistrict110General[Part of Schenectady County Vote Results])</f>
        <v>19355</v>
      </c>
      <c r="D16" s="6"/>
      <c r="E16" s="9"/>
    </row>
  </sheetData>
  <pageMargins left="0.7" right="0.7" top="0.75" bottom="0.75" header="0.3" footer="0.3"/>
  <tableParts count="1">
    <tablePart r:id="rId1"/>
  </tableParts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7C188-F6AF-4BBB-9906-E6205F22D1ED}">
  <dimension ref="A1:F17"/>
  <sheetViews>
    <sheetView workbookViewId="0">
      <selection activeCell="D14" sqref="D14"/>
    </sheetView>
  </sheetViews>
  <sheetFormatPr defaultRowHeight="12.75" x14ac:dyDescent="0.2"/>
  <cols>
    <col min="1" max="1" width="25.5703125" customWidth="1"/>
    <col min="2" max="6" width="20.5703125" customWidth="1"/>
    <col min="7" max="8" width="23.5703125" customWidth="1"/>
  </cols>
  <sheetData>
    <row r="1" spans="1:6" ht="24.75" customHeight="1" x14ac:dyDescent="0.2">
      <c r="A1" s="1" t="s">
        <v>152</v>
      </c>
    </row>
    <row r="2" spans="1:6" ht="25.5" x14ac:dyDescent="0.2">
      <c r="A2" s="7" t="s">
        <v>12</v>
      </c>
      <c r="B2" s="8" t="s">
        <v>153</v>
      </c>
      <c r="C2" s="8" t="s">
        <v>137</v>
      </c>
      <c r="D2" s="8" t="s">
        <v>151</v>
      </c>
      <c r="E2" s="10" t="s">
        <v>228</v>
      </c>
      <c r="F2" s="11" t="s">
        <v>5</v>
      </c>
    </row>
    <row r="3" spans="1:6" x14ac:dyDescent="0.2">
      <c r="A3" s="2" t="s">
        <v>3</v>
      </c>
      <c r="B3" s="3">
        <v>4081</v>
      </c>
      <c r="C3" s="3">
        <v>717</v>
      </c>
      <c r="D3" s="3">
        <v>8332</v>
      </c>
      <c r="E3" s="12">
        <f>SUM(GovByAssemblyDistrict111General[[#This Row],[Montgomery County Vote Results]:[Part of Schenectady County Vote Results]])</f>
        <v>13130</v>
      </c>
      <c r="F3" s="13">
        <f>SUM(E3,E7,E8,E9)</f>
        <v>14101</v>
      </c>
    </row>
    <row r="4" spans="1:6" x14ac:dyDescent="0.2">
      <c r="A4" s="2" t="s">
        <v>14</v>
      </c>
      <c r="B4" s="3">
        <v>8704</v>
      </c>
      <c r="C4" s="3">
        <v>1332</v>
      </c>
      <c r="D4" s="3">
        <v>10510</v>
      </c>
      <c r="E4" s="12">
        <f>SUM(GovByAssemblyDistrict111General[[#This Row],[Montgomery County Vote Results]:[Part of Schenectady County Vote Results]])</f>
        <v>20546</v>
      </c>
      <c r="F4" s="13">
        <f>SUM(E4,E5,E10)</f>
        <v>24267</v>
      </c>
    </row>
    <row r="5" spans="1:6" x14ac:dyDescent="0.2">
      <c r="A5" s="2" t="s">
        <v>15</v>
      </c>
      <c r="B5" s="3">
        <v>1315</v>
      </c>
      <c r="C5" s="3">
        <v>309</v>
      </c>
      <c r="D5" s="3">
        <v>1772</v>
      </c>
      <c r="E5" s="12">
        <f>SUM(GovByAssemblyDistrict111General[[#This Row],[Montgomery County Vote Results]:[Part of Schenectady County Vote Results]])</f>
        <v>3396</v>
      </c>
      <c r="F5" s="14"/>
    </row>
    <row r="6" spans="1:6" x14ac:dyDescent="0.2">
      <c r="A6" s="2" t="s">
        <v>6</v>
      </c>
      <c r="B6" s="3">
        <v>210</v>
      </c>
      <c r="C6" s="3">
        <v>87</v>
      </c>
      <c r="D6" s="3">
        <v>427</v>
      </c>
      <c r="E6" s="12">
        <f>SUM(GovByAssemblyDistrict111General[[#This Row],[Montgomery County Vote Results]:[Part of Schenectady County Vote Results]])</f>
        <v>724</v>
      </c>
      <c r="F6" s="13">
        <f>GovByAssemblyDistrict111General[[#This Row],[Total Votes by Party]]</f>
        <v>724</v>
      </c>
    </row>
    <row r="7" spans="1:6" x14ac:dyDescent="0.2">
      <c r="A7" s="2" t="s">
        <v>7</v>
      </c>
      <c r="B7" s="3">
        <v>109</v>
      </c>
      <c r="C7" s="3">
        <v>33</v>
      </c>
      <c r="D7" s="3">
        <v>251</v>
      </c>
      <c r="E7" s="12">
        <f>SUM(GovByAssemblyDistrict111General[[#This Row],[Montgomery County Vote Results]:[Part of Schenectady County Vote Results]])</f>
        <v>393</v>
      </c>
      <c r="F7" s="14"/>
    </row>
    <row r="8" spans="1:6" x14ac:dyDescent="0.2">
      <c r="A8" s="2" t="s">
        <v>8</v>
      </c>
      <c r="B8" s="3">
        <v>138</v>
      </c>
      <c r="C8" s="3">
        <v>30</v>
      </c>
      <c r="D8" s="3">
        <v>250</v>
      </c>
      <c r="E8" s="12">
        <f>SUM(GovByAssemblyDistrict111General[[#This Row],[Montgomery County Vote Results]:[Part of Schenectady County Vote Results]])</f>
        <v>418</v>
      </c>
      <c r="F8" s="14"/>
    </row>
    <row r="9" spans="1:6" x14ac:dyDescent="0.2">
      <c r="A9" s="2" t="s">
        <v>9</v>
      </c>
      <c r="B9" s="3">
        <v>56</v>
      </c>
      <c r="C9" s="3">
        <v>14</v>
      </c>
      <c r="D9" s="3">
        <v>90</v>
      </c>
      <c r="E9" s="12">
        <f>SUM(GovByAssemblyDistrict111General[[#This Row],[Montgomery County Vote Results]:[Part of Schenectady County Vote Results]])</f>
        <v>160</v>
      </c>
      <c r="F9" s="14"/>
    </row>
    <row r="10" spans="1:6" x14ac:dyDescent="0.2">
      <c r="A10" s="2" t="s">
        <v>16</v>
      </c>
      <c r="B10" s="3">
        <v>134</v>
      </c>
      <c r="C10" s="3">
        <v>25</v>
      </c>
      <c r="D10" s="3">
        <v>166</v>
      </c>
      <c r="E10" s="12">
        <f>SUM(GovByAssemblyDistrict111General[[#This Row],[Montgomery County Vote Results]:[Part of Schenectady County Vote Results]])</f>
        <v>325</v>
      </c>
      <c r="F10" s="14"/>
    </row>
    <row r="11" spans="1:6" x14ac:dyDescent="0.2">
      <c r="A11" s="2" t="s">
        <v>10</v>
      </c>
      <c r="B11" s="3">
        <v>398</v>
      </c>
      <c r="C11" s="3">
        <v>51</v>
      </c>
      <c r="D11" s="3">
        <v>542</v>
      </c>
      <c r="E11" s="12">
        <f>SUM(GovByAssemblyDistrict111General[[#This Row],[Montgomery County Vote Results]:[Part of Schenectady County Vote Results]])</f>
        <v>991</v>
      </c>
      <c r="F11" s="13">
        <f>GovByAssemblyDistrict111General[[#This Row],[Total Votes by Party]]</f>
        <v>991</v>
      </c>
    </row>
    <row r="12" spans="1:6" x14ac:dyDescent="0.2">
      <c r="A12" s="4" t="s">
        <v>11</v>
      </c>
      <c r="B12" s="3">
        <v>188</v>
      </c>
      <c r="C12" s="3">
        <v>59</v>
      </c>
      <c r="D12" s="3">
        <v>292</v>
      </c>
      <c r="E12" s="12">
        <f>SUM(GovByAssemblyDistrict111General[[#This Row],[Montgomery County Vote Results]:[Part of Schenectady County Vote Results]])</f>
        <v>539</v>
      </c>
      <c r="F12" s="13">
        <f>GovByAssemblyDistrict111General[[#This Row],[Total Votes by Party]]</f>
        <v>539</v>
      </c>
    </row>
    <row r="13" spans="1:6" x14ac:dyDescent="0.2">
      <c r="A13" s="4" t="s">
        <v>0</v>
      </c>
      <c r="B13" s="3">
        <v>450</v>
      </c>
      <c r="C13" s="3">
        <v>56</v>
      </c>
      <c r="D13" s="3">
        <v>358</v>
      </c>
      <c r="E13" s="12">
        <f>SUM(GovByAssemblyDistrict111General[[#This Row],[Montgomery County Vote Results]:[Part of Schenectady County Vote Results]])</f>
        <v>864</v>
      </c>
      <c r="F13" s="14"/>
    </row>
    <row r="14" spans="1:6" x14ac:dyDescent="0.2">
      <c r="A14" s="4" t="s">
        <v>1</v>
      </c>
      <c r="B14" s="3">
        <v>17</v>
      </c>
      <c r="C14" s="3">
        <v>4</v>
      </c>
      <c r="D14" s="3">
        <v>120</v>
      </c>
      <c r="E14" s="12">
        <f>SUM(GovByAssemblyDistrict111General[[#This Row],[Montgomery County Vote Results]:[Part of Schenectady County Vote Results]])</f>
        <v>141</v>
      </c>
      <c r="F14" s="14"/>
    </row>
    <row r="15" spans="1:6" x14ac:dyDescent="0.2">
      <c r="A15" s="4" t="s">
        <v>2</v>
      </c>
      <c r="B15" s="5">
        <v>8</v>
      </c>
      <c r="C15" s="5">
        <v>0</v>
      </c>
      <c r="D15" s="5">
        <v>20</v>
      </c>
      <c r="E15" s="12">
        <f>SUM(GovByAssemblyDistrict111General[[#This Row],[Montgomery County Vote Results]:[Part of Schenectady County Vote Results]])</f>
        <v>28</v>
      </c>
      <c r="F15" s="14"/>
    </row>
    <row r="16" spans="1:6" hidden="1" x14ac:dyDescent="0.2">
      <c r="A16" s="4" t="s">
        <v>4</v>
      </c>
      <c r="B16" s="6">
        <f>SUBTOTAL(109,GovByAssemblyDistrict111General[Montgomery County Vote Results])</f>
        <v>15808</v>
      </c>
      <c r="C16" s="6"/>
      <c r="D16" s="6">
        <f>SUBTOTAL(109,GovByAssemblyDistrict111General[Part of Schenectady County Vote Results])</f>
        <v>23130</v>
      </c>
      <c r="E16" s="6"/>
      <c r="F16" s="9"/>
    </row>
    <row r="17" spans="4:4" x14ac:dyDescent="0.2">
      <c r="D17" s="15"/>
    </row>
  </sheetData>
  <pageMargins left="0.7" right="0.7" top="0.75" bottom="0.75" header="0.3" footer="0.3"/>
  <tableParts count="1">
    <tablePart r:id="rId1"/>
  </tableParts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468F5-36C2-4A1D-8600-5D3989F5A233}">
  <dimension ref="A1:E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24.75" customHeight="1" x14ac:dyDescent="0.2">
      <c r="A1" s="1" t="s">
        <v>154</v>
      </c>
    </row>
    <row r="2" spans="1:5" ht="25.5" x14ac:dyDescent="0.2">
      <c r="A2" s="7" t="s">
        <v>12</v>
      </c>
      <c r="B2" s="8" t="s">
        <v>148</v>
      </c>
      <c r="C2" s="8" t="s">
        <v>151</v>
      </c>
      <c r="D2" s="10" t="s">
        <v>228</v>
      </c>
      <c r="E2" s="11" t="s">
        <v>5</v>
      </c>
    </row>
    <row r="3" spans="1:5" x14ac:dyDescent="0.2">
      <c r="A3" s="2" t="s">
        <v>3</v>
      </c>
      <c r="B3" s="3">
        <v>16611</v>
      </c>
      <c r="C3" s="3">
        <v>4578</v>
      </c>
      <c r="D3" s="12">
        <f>SUM(GovByAssemblyDistrict112General[[#This Row],[Part of Saratoga County Vote Results]:[Part of Schenectady County Vote Results]])</f>
        <v>21189</v>
      </c>
      <c r="E3" s="13">
        <f>SUM(D3,D7,D8,D9)</f>
        <v>22938</v>
      </c>
    </row>
    <row r="4" spans="1:5" x14ac:dyDescent="0.2">
      <c r="A4" s="2" t="s">
        <v>14</v>
      </c>
      <c r="B4" s="3">
        <v>22296</v>
      </c>
      <c r="C4" s="3">
        <v>6276</v>
      </c>
      <c r="D4" s="12">
        <f>SUM(GovByAssemblyDistrict112General[[#This Row],[Part of Saratoga County Vote Results]:[Part of Schenectady County Vote Results]])</f>
        <v>28572</v>
      </c>
      <c r="E4" s="13">
        <f>SUM(D4,D5,D10)</f>
        <v>33669</v>
      </c>
    </row>
    <row r="5" spans="1:5" x14ac:dyDescent="0.2">
      <c r="A5" s="2" t="s">
        <v>15</v>
      </c>
      <c r="B5" s="3">
        <v>3610</v>
      </c>
      <c r="C5" s="3">
        <v>1001</v>
      </c>
      <c r="D5" s="12">
        <f>SUM(GovByAssemblyDistrict112General[[#This Row],[Part of Saratoga County Vote Results]:[Part of Schenectady County Vote Results]])</f>
        <v>4611</v>
      </c>
      <c r="E5" s="14"/>
    </row>
    <row r="6" spans="1:5" x14ac:dyDescent="0.2">
      <c r="A6" s="2" t="s">
        <v>6</v>
      </c>
      <c r="B6" s="3">
        <v>960</v>
      </c>
      <c r="C6" s="3">
        <v>345</v>
      </c>
      <c r="D6" s="12">
        <f>SUM(GovByAssemblyDistrict112General[[#This Row],[Part of Saratoga County Vote Results]:[Part of Schenectady County Vote Results]])</f>
        <v>1305</v>
      </c>
      <c r="E6" s="13">
        <f>GovByAssemblyDistrict112General[[#This Row],[Total Votes by Party]]</f>
        <v>1305</v>
      </c>
    </row>
    <row r="7" spans="1:5" x14ac:dyDescent="0.2">
      <c r="A7" s="2" t="s">
        <v>7</v>
      </c>
      <c r="B7" s="3">
        <v>499</v>
      </c>
      <c r="C7" s="3">
        <v>164</v>
      </c>
      <c r="D7" s="12">
        <f>SUM(GovByAssemblyDistrict112General[[#This Row],[Part of Saratoga County Vote Results]:[Part of Schenectady County Vote Results]])</f>
        <v>663</v>
      </c>
      <c r="E7" s="14"/>
    </row>
    <row r="8" spans="1:5" x14ac:dyDescent="0.2">
      <c r="A8" s="2" t="s">
        <v>8</v>
      </c>
      <c r="B8" s="3">
        <v>589</v>
      </c>
      <c r="C8" s="3">
        <v>157</v>
      </c>
      <c r="D8" s="12">
        <f>SUM(GovByAssemblyDistrict112General[[#This Row],[Part of Saratoga County Vote Results]:[Part of Schenectady County Vote Results]])</f>
        <v>746</v>
      </c>
      <c r="E8" s="14"/>
    </row>
    <row r="9" spans="1:5" x14ac:dyDescent="0.2">
      <c r="A9" s="2" t="s">
        <v>9</v>
      </c>
      <c r="B9" s="3">
        <v>264</v>
      </c>
      <c r="C9" s="3">
        <v>76</v>
      </c>
      <c r="D9" s="12">
        <f>SUM(GovByAssemblyDistrict112General[[#This Row],[Part of Saratoga County Vote Results]:[Part of Schenectady County Vote Results]])</f>
        <v>340</v>
      </c>
      <c r="E9" s="14"/>
    </row>
    <row r="10" spans="1:5" x14ac:dyDescent="0.2">
      <c r="A10" s="2" t="s">
        <v>16</v>
      </c>
      <c r="B10" s="3">
        <v>363</v>
      </c>
      <c r="C10" s="3">
        <v>123</v>
      </c>
      <c r="D10" s="12">
        <f>SUM(GovByAssemblyDistrict112General[[#This Row],[Part of Saratoga County Vote Results]:[Part of Schenectady County Vote Results]])</f>
        <v>486</v>
      </c>
      <c r="E10" s="14"/>
    </row>
    <row r="11" spans="1:5" x14ac:dyDescent="0.2">
      <c r="A11" s="2" t="s">
        <v>10</v>
      </c>
      <c r="B11" s="3">
        <v>966</v>
      </c>
      <c r="C11" s="3">
        <v>316</v>
      </c>
      <c r="D11" s="12">
        <f>SUM(GovByAssemblyDistrict112General[[#This Row],[Part of Saratoga County Vote Results]:[Part of Schenectady County Vote Results]])</f>
        <v>1282</v>
      </c>
      <c r="E11" s="13">
        <f>GovByAssemblyDistrict112General[[#This Row],[Total Votes by Party]]</f>
        <v>1282</v>
      </c>
    </row>
    <row r="12" spans="1:5" x14ac:dyDescent="0.2">
      <c r="A12" s="4" t="s">
        <v>11</v>
      </c>
      <c r="B12" s="3">
        <v>854</v>
      </c>
      <c r="C12" s="3">
        <v>205</v>
      </c>
      <c r="D12" s="12">
        <f>SUM(GovByAssemblyDistrict112General[[#This Row],[Part of Saratoga County Vote Results]:[Part of Schenectady County Vote Results]])</f>
        <v>1059</v>
      </c>
      <c r="E12" s="13">
        <f>GovByAssemblyDistrict112General[[#This Row],[Total Votes by Party]]</f>
        <v>1059</v>
      </c>
    </row>
    <row r="13" spans="1:5" x14ac:dyDescent="0.2">
      <c r="A13" s="4" t="s">
        <v>0</v>
      </c>
      <c r="B13" s="3">
        <v>940</v>
      </c>
      <c r="C13" s="3">
        <v>170</v>
      </c>
      <c r="D13" s="12">
        <f>SUM(GovByAssemblyDistrict112General[[#This Row],[Part of Saratoga County Vote Results]:[Part of Schenectady County Vote Results]])</f>
        <v>1110</v>
      </c>
      <c r="E13" s="14"/>
    </row>
    <row r="14" spans="1:5" x14ac:dyDescent="0.2">
      <c r="A14" s="4" t="s">
        <v>1</v>
      </c>
      <c r="B14" s="3">
        <v>37</v>
      </c>
      <c r="C14" s="3">
        <v>76</v>
      </c>
      <c r="D14" s="12">
        <f>SUM(GovByAssemblyDistrict112General[[#This Row],[Part of Saratoga County Vote Results]:[Part of Schenectady County Vote Results]])</f>
        <v>113</v>
      </c>
      <c r="E14" s="14"/>
    </row>
    <row r="15" spans="1:5" x14ac:dyDescent="0.2">
      <c r="A15" s="4" t="s">
        <v>2</v>
      </c>
      <c r="B15" s="5">
        <v>33</v>
      </c>
      <c r="C15" s="5">
        <v>14</v>
      </c>
      <c r="D15" s="12">
        <f>SUM(GovByAssemblyDistrict112General[[#This Row],[Part of Saratoga County Vote Results]:[Part of Schenectady County Vote Results]])</f>
        <v>47</v>
      </c>
      <c r="E15" s="14"/>
    </row>
    <row r="16" spans="1:5" hidden="1" x14ac:dyDescent="0.2">
      <c r="A16" s="4" t="s">
        <v>4</v>
      </c>
      <c r="B16" s="6">
        <f>SUBTOTAL(109,GovByAssemblyDistrict112General[Part of Saratoga County Vote Results])</f>
        <v>48022</v>
      </c>
      <c r="C16" s="6">
        <f>SUBTOTAL(109,GovByAssemblyDistrict112General[Part of Schenectady County Vote Results])</f>
        <v>13501</v>
      </c>
      <c r="D16" s="6"/>
      <c r="E16" s="9"/>
    </row>
  </sheetData>
  <pageMargins left="0.7" right="0.7" top="0.75" bottom="0.75" header="0.3" footer="0.3"/>
  <tableParts count="1">
    <tablePart r:id="rId1"/>
  </tableParts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403DA-D656-44CB-A37A-18E32A113528}">
  <dimension ref="A1:E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24.75" customHeight="1" x14ac:dyDescent="0.2">
      <c r="A1" s="1" t="s">
        <v>155</v>
      </c>
    </row>
    <row r="2" spans="1:5" ht="25.5" x14ac:dyDescent="0.2">
      <c r="A2" s="7" t="s">
        <v>12</v>
      </c>
      <c r="B2" s="8" t="s">
        <v>148</v>
      </c>
      <c r="C2" s="8" t="s">
        <v>146</v>
      </c>
      <c r="D2" s="10" t="s">
        <v>228</v>
      </c>
      <c r="E2" s="11" t="s">
        <v>5</v>
      </c>
    </row>
    <row r="3" spans="1:5" x14ac:dyDescent="0.2">
      <c r="A3" s="2" t="s">
        <v>3</v>
      </c>
      <c r="B3" s="3">
        <v>15905</v>
      </c>
      <c r="C3" s="3">
        <v>3667</v>
      </c>
      <c r="D3" s="12">
        <f>SUM(GovByAssemblyDistrict113General[[#This Row],[Part of Saratoga County Vote Results]:[Part of Washington County Vote Results]])</f>
        <v>19572</v>
      </c>
      <c r="E3" s="13">
        <f>SUM(D3,D7,D8,D9)</f>
        <v>21106</v>
      </c>
    </row>
    <row r="4" spans="1:5" x14ac:dyDescent="0.2">
      <c r="A4" s="2" t="s">
        <v>14</v>
      </c>
      <c r="B4" s="3">
        <v>18588</v>
      </c>
      <c r="C4" s="3">
        <v>6658</v>
      </c>
      <c r="D4" s="12">
        <f>SUM(GovByAssemblyDistrict113General[[#This Row],[Part of Saratoga County Vote Results]:[Part of Washington County Vote Results]])</f>
        <v>25246</v>
      </c>
      <c r="E4" s="13">
        <f>SUM(D4,D5,D10)</f>
        <v>29224</v>
      </c>
    </row>
    <row r="5" spans="1:5" x14ac:dyDescent="0.2">
      <c r="A5" s="2" t="s">
        <v>15</v>
      </c>
      <c r="B5" s="3">
        <v>2664</v>
      </c>
      <c r="C5" s="3">
        <v>907</v>
      </c>
      <c r="D5" s="12">
        <f>SUM(GovByAssemblyDistrict113General[[#This Row],[Part of Saratoga County Vote Results]:[Part of Washington County Vote Results]])</f>
        <v>3571</v>
      </c>
      <c r="E5" s="14"/>
    </row>
    <row r="6" spans="1:5" x14ac:dyDescent="0.2">
      <c r="A6" s="2" t="s">
        <v>6</v>
      </c>
      <c r="B6" s="3">
        <v>1012</v>
      </c>
      <c r="C6" s="3">
        <v>298</v>
      </c>
      <c r="D6" s="12">
        <f>SUM(GovByAssemblyDistrict113General[[#This Row],[Part of Saratoga County Vote Results]:[Part of Washington County Vote Results]])</f>
        <v>1310</v>
      </c>
      <c r="E6" s="13">
        <f>GovByAssemblyDistrict113General[[#This Row],[Total Votes by Party]]</f>
        <v>1310</v>
      </c>
    </row>
    <row r="7" spans="1:5" x14ac:dyDescent="0.2">
      <c r="A7" s="2" t="s">
        <v>7</v>
      </c>
      <c r="B7" s="3">
        <v>498</v>
      </c>
      <c r="C7" s="3">
        <v>88</v>
      </c>
      <c r="D7" s="12">
        <f>SUM(GovByAssemblyDistrict113General[[#This Row],[Part of Saratoga County Vote Results]:[Part of Washington County Vote Results]])</f>
        <v>586</v>
      </c>
      <c r="E7" s="14"/>
    </row>
    <row r="8" spans="1:5" x14ac:dyDescent="0.2">
      <c r="A8" s="2" t="s">
        <v>8</v>
      </c>
      <c r="B8" s="3">
        <v>534</v>
      </c>
      <c r="C8" s="3">
        <v>130</v>
      </c>
      <c r="D8" s="12">
        <f>SUM(GovByAssemblyDistrict113General[[#This Row],[Part of Saratoga County Vote Results]:[Part of Washington County Vote Results]])</f>
        <v>664</v>
      </c>
      <c r="E8" s="14"/>
    </row>
    <row r="9" spans="1:5" x14ac:dyDescent="0.2">
      <c r="A9" s="2" t="s">
        <v>9</v>
      </c>
      <c r="B9" s="3">
        <v>239</v>
      </c>
      <c r="C9" s="3">
        <v>45</v>
      </c>
      <c r="D9" s="12">
        <f>SUM(GovByAssemblyDistrict113General[[#This Row],[Part of Saratoga County Vote Results]:[Part of Washington County Vote Results]])</f>
        <v>284</v>
      </c>
      <c r="E9" s="14"/>
    </row>
    <row r="10" spans="1:5" x14ac:dyDescent="0.2">
      <c r="A10" s="2" t="s">
        <v>16</v>
      </c>
      <c r="B10" s="3">
        <v>307</v>
      </c>
      <c r="C10" s="3">
        <v>100</v>
      </c>
      <c r="D10" s="12">
        <f>SUM(GovByAssemblyDistrict113General[[#This Row],[Part of Saratoga County Vote Results]:[Part of Washington County Vote Results]])</f>
        <v>407</v>
      </c>
      <c r="E10" s="14"/>
    </row>
    <row r="11" spans="1:5" x14ac:dyDescent="0.2">
      <c r="A11" s="2" t="s">
        <v>10</v>
      </c>
      <c r="B11" s="3">
        <v>864</v>
      </c>
      <c r="C11" s="3">
        <v>382</v>
      </c>
      <c r="D11" s="12">
        <f>SUM(GovByAssemblyDistrict113General[[#This Row],[Part of Saratoga County Vote Results]:[Part of Washington County Vote Results]])</f>
        <v>1246</v>
      </c>
      <c r="E11" s="13">
        <f>GovByAssemblyDistrict113General[[#This Row],[Total Votes by Party]]</f>
        <v>1246</v>
      </c>
    </row>
    <row r="12" spans="1:5" x14ac:dyDescent="0.2">
      <c r="A12" s="4" t="s">
        <v>11</v>
      </c>
      <c r="B12" s="3">
        <v>681</v>
      </c>
      <c r="C12" s="3">
        <v>123</v>
      </c>
      <c r="D12" s="12">
        <f>SUM(GovByAssemblyDistrict113General[[#This Row],[Part of Saratoga County Vote Results]:[Part of Washington County Vote Results]])</f>
        <v>804</v>
      </c>
      <c r="E12" s="13">
        <f>GovByAssemblyDistrict113General[[#This Row],[Total Votes by Party]]</f>
        <v>804</v>
      </c>
    </row>
    <row r="13" spans="1:5" x14ac:dyDescent="0.2">
      <c r="A13" s="4" t="s">
        <v>0</v>
      </c>
      <c r="B13" s="3">
        <v>824</v>
      </c>
      <c r="C13" s="3">
        <v>6</v>
      </c>
      <c r="D13" s="12">
        <f>SUM(GovByAssemblyDistrict113General[[#This Row],[Part of Saratoga County Vote Results]:[Part of Washington County Vote Results]])</f>
        <v>830</v>
      </c>
      <c r="E13" s="14"/>
    </row>
    <row r="14" spans="1:5" x14ac:dyDescent="0.2">
      <c r="A14" s="4" t="s">
        <v>1</v>
      </c>
      <c r="B14" s="3">
        <v>47</v>
      </c>
      <c r="C14" s="3">
        <v>0</v>
      </c>
      <c r="D14" s="12">
        <f>SUM(GovByAssemblyDistrict113General[[#This Row],[Part of Saratoga County Vote Results]:[Part of Washington County Vote Results]])</f>
        <v>47</v>
      </c>
      <c r="E14" s="14"/>
    </row>
    <row r="15" spans="1:5" x14ac:dyDescent="0.2">
      <c r="A15" s="4" t="s">
        <v>2</v>
      </c>
      <c r="B15" s="5">
        <v>37</v>
      </c>
      <c r="C15" s="5">
        <v>0</v>
      </c>
      <c r="D15" s="12">
        <f>SUM(GovByAssemblyDistrict113General[[#This Row],[Part of Saratoga County Vote Results]:[Part of Washington County Vote Results]])</f>
        <v>37</v>
      </c>
      <c r="E15" s="14"/>
    </row>
    <row r="16" spans="1:5" hidden="1" x14ac:dyDescent="0.2">
      <c r="A16" s="4" t="s">
        <v>4</v>
      </c>
      <c r="B16" s="6">
        <f>SUBTOTAL(109,GovByAssemblyDistrict113General[Part of Saratoga County Vote Results])</f>
        <v>42200</v>
      </c>
      <c r="C16" s="6">
        <f>SUBTOTAL(109,GovByAssemblyDistrict113General[Part of Washington County Vote Results])</f>
        <v>12404</v>
      </c>
      <c r="D16" s="6"/>
      <c r="E16" s="9"/>
    </row>
  </sheetData>
  <pageMargins left="0.7" right="0.7" top="0.75" bottom="0.75" header="0.3" footer="0.3"/>
  <tableParts count="1">
    <tablePart r:id="rId1"/>
  </tableParts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046BE-3CD6-4EE7-8B23-31F8D43AC068}">
  <dimension ref="A1:G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7" width="20.5703125" customWidth="1"/>
    <col min="8" max="9" width="23.5703125" customWidth="1"/>
  </cols>
  <sheetData>
    <row r="1" spans="1:7" ht="24.75" customHeight="1" x14ac:dyDescent="0.2">
      <c r="A1" s="1" t="s">
        <v>156</v>
      </c>
    </row>
    <row r="2" spans="1:7" ht="25.5" x14ac:dyDescent="0.2">
      <c r="A2" s="7" t="s">
        <v>12</v>
      </c>
      <c r="B2" s="8" t="s">
        <v>157</v>
      </c>
      <c r="C2" s="8" t="s">
        <v>158</v>
      </c>
      <c r="D2" s="8" t="s">
        <v>148</v>
      </c>
      <c r="E2" s="8" t="s">
        <v>146</v>
      </c>
      <c r="F2" s="10" t="s">
        <v>228</v>
      </c>
      <c r="G2" s="11" t="s">
        <v>5</v>
      </c>
    </row>
    <row r="3" spans="1:7" x14ac:dyDescent="0.2">
      <c r="A3" s="2" t="s">
        <v>3</v>
      </c>
      <c r="B3" s="3">
        <v>6050</v>
      </c>
      <c r="C3" s="3">
        <v>9148</v>
      </c>
      <c r="D3" s="3">
        <v>798</v>
      </c>
      <c r="E3" s="3">
        <v>1536</v>
      </c>
      <c r="F3" s="12">
        <f>SUM(GovByAssemblyDistrict114General[[#This Row],[Essex County Vote Results]:[Part of Washington County Vote Results]])</f>
        <v>17532</v>
      </c>
      <c r="G3" s="13">
        <f>SUM(F3,F7,F8,F9)</f>
        <v>18818</v>
      </c>
    </row>
    <row r="4" spans="1:7" x14ac:dyDescent="0.2">
      <c r="A4" s="2" t="s">
        <v>14</v>
      </c>
      <c r="B4" s="3">
        <v>6166</v>
      </c>
      <c r="C4" s="3">
        <v>13061</v>
      </c>
      <c r="D4" s="3">
        <v>2419</v>
      </c>
      <c r="E4" s="3">
        <v>3688</v>
      </c>
      <c r="F4" s="12">
        <f>SUM(GovByAssemblyDistrict114General[[#This Row],[Essex County Vote Results]:[Part of Washington County Vote Results]])</f>
        <v>25334</v>
      </c>
      <c r="G4" s="13">
        <f>SUM(F4,F5,F10)</f>
        <v>28259</v>
      </c>
    </row>
    <row r="5" spans="1:7" x14ac:dyDescent="0.2">
      <c r="A5" s="2" t="s">
        <v>15</v>
      </c>
      <c r="B5" s="3">
        <v>461</v>
      </c>
      <c r="C5" s="3">
        <v>1460</v>
      </c>
      <c r="D5" s="3">
        <v>315</v>
      </c>
      <c r="E5" s="3">
        <v>319</v>
      </c>
      <c r="F5" s="12">
        <f>SUM(GovByAssemblyDistrict114General[[#This Row],[Essex County Vote Results]:[Part of Washington County Vote Results]])</f>
        <v>2555</v>
      </c>
      <c r="G5" s="14"/>
    </row>
    <row r="6" spans="1:7" x14ac:dyDescent="0.2">
      <c r="A6" s="2" t="s">
        <v>6</v>
      </c>
      <c r="B6" s="3">
        <v>240</v>
      </c>
      <c r="C6" s="3">
        <v>642</v>
      </c>
      <c r="D6" s="3">
        <v>59</v>
      </c>
      <c r="E6" s="3">
        <v>79</v>
      </c>
      <c r="F6" s="12">
        <f>SUM(GovByAssemblyDistrict114General[[#This Row],[Essex County Vote Results]:[Part of Washington County Vote Results]])</f>
        <v>1020</v>
      </c>
      <c r="G6" s="13">
        <f>GovByAssemblyDistrict114General[[#This Row],[Total Votes by Party]]</f>
        <v>1020</v>
      </c>
    </row>
    <row r="7" spans="1:7" x14ac:dyDescent="0.2">
      <c r="A7" s="2" t="s">
        <v>7</v>
      </c>
      <c r="B7" s="3">
        <v>168</v>
      </c>
      <c r="C7" s="3">
        <v>220</v>
      </c>
      <c r="D7" s="3">
        <v>16</v>
      </c>
      <c r="E7" s="3">
        <v>48</v>
      </c>
      <c r="F7" s="12">
        <f>SUM(GovByAssemblyDistrict114General[[#This Row],[Essex County Vote Results]:[Part of Washington County Vote Results]])</f>
        <v>452</v>
      </c>
      <c r="G7" s="14"/>
    </row>
    <row r="8" spans="1:7" x14ac:dyDescent="0.2">
      <c r="A8" s="2" t="s">
        <v>8</v>
      </c>
      <c r="B8" s="3">
        <v>196</v>
      </c>
      <c r="C8" s="3">
        <v>314</v>
      </c>
      <c r="D8" s="3">
        <v>27</v>
      </c>
      <c r="E8" s="3">
        <v>54</v>
      </c>
      <c r="F8" s="12">
        <f>SUM(GovByAssemblyDistrict114General[[#This Row],[Essex County Vote Results]:[Part of Washington County Vote Results]])</f>
        <v>591</v>
      </c>
      <c r="G8" s="14"/>
    </row>
    <row r="9" spans="1:7" x14ac:dyDescent="0.2">
      <c r="A9" s="2" t="s">
        <v>9</v>
      </c>
      <c r="B9" s="3">
        <v>75</v>
      </c>
      <c r="C9" s="3">
        <v>133</v>
      </c>
      <c r="D9" s="3">
        <v>15</v>
      </c>
      <c r="E9" s="3">
        <v>20</v>
      </c>
      <c r="F9" s="12">
        <f>SUM(GovByAssemblyDistrict114General[[#This Row],[Essex County Vote Results]:[Part of Washington County Vote Results]])</f>
        <v>243</v>
      </c>
      <c r="G9" s="14"/>
    </row>
    <row r="10" spans="1:7" x14ac:dyDescent="0.2">
      <c r="A10" s="2" t="s">
        <v>16</v>
      </c>
      <c r="B10" s="3">
        <v>78</v>
      </c>
      <c r="C10" s="3">
        <v>224</v>
      </c>
      <c r="D10" s="3">
        <v>32</v>
      </c>
      <c r="E10" s="3">
        <v>36</v>
      </c>
      <c r="F10" s="12">
        <f>SUM(GovByAssemblyDistrict114General[[#This Row],[Essex County Vote Results]:[Part of Washington County Vote Results]])</f>
        <v>370</v>
      </c>
      <c r="G10" s="14"/>
    </row>
    <row r="11" spans="1:7" x14ac:dyDescent="0.2">
      <c r="A11" s="2" t="s">
        <v>10</v>
      </c>
      <c r="B11" s="3">
        <v>262</v>
      </c>
      <c r="C11" s="3">
        <v>687</v>
      </c>
      <c r="D11" s="3">
        <v>94</v>
      </c>
      <c r="E11" s="3">
        <v>127</v>
      </c>
      <c r="F11" s="12">
        <f>SUM(GovByAssemblyDistrict114General[[#This Row],[Essex County Vote Results]:[Part of Washington County Vote Results]])</f>
        <v>1170</v>
      </c>
      <c r="G11" s="13">
        <f>GovByAssemblyDistrict114General[[#This Row],[Total Votes by Party]]</f>
        <v>1170</v>
      </c>
    </row>
    <row r="12" spans="1:7" x14ac:dyDescent="0.2">
      <c r="A12" s="4" t="s">
        <v>11</v>
      </c>
      <c r="B12" s="3">
        <v>167</v>
      </c>
      <c r="C12" s="3">
        <v>204</v>
      </c>
      <c r="D12" s="3">
        <v>40</v>
      </c>
      <c r="E12" s="3">
        <v>45</v>
      </c>
      <c r="F12" s="12">
        <f>SUM(GovByAssemblyDistrict114General[[#This Row],[Essex County Vote Results]:[Part of Washington County Vote Results]])</f>
        <v>456</v>
      </c>
      <c r="G12" s="13">
        <f>GovByAssemblyDistrict114General[[#This Row],[Total Votes by Party]]</f>
        <v>456</v>
      </c>
    </row>
    <row r="13" spans="1:7" x14ac:dyDescent="0.2">
      <c r="A13" s="4" t="s">
        <v>0</v>
      </c>
      <c r="B13" s="3">
        <v>906</v>
      </c>
      <c r="C13" s="3">
        <v>386</v>
      </c>
      <c r="D13" s="3">
        <v>92</v>
      </c>
      <c r="E13" s="3">
        <v>0</v>
      </c>
      <c r="F13" s="12">
        <f>SUM(GovByAssemblyDistrict114General[[#This Row],[Essex County Vote Results]:[Part of Washington County Vote Results]])</f>
        <v>1384</v>
      </c>
      <c r="G13" s="14"/>
    </row>
    <row r="14" spans="1:7" x14ac:dyDescent="0.2">
      <c r="A14" s="4" t="s">
        <v>1</v>
      </c>
      <c r="B14" s="3">
        <v>0</v>
      </c>
      <c r="C14" s="3">
        <v>0</v>
      </c>
      <c r="D14" s="3">
        <v>3</v>
      </c>
      <c r="E14" s="3">
        <v>0</v>
      </c>
      <c r="F14" s="12">
        <f>SUM(GovByAssemblyDistrict114General[[#This Row],[Essex County Vote Results]:[Part of Washington County Vote Results]])</f>
        <v>3</v>
      </c>
      <c r="G14" s="14"/>
    </row>
    <row r="15" spans="1:7" x14ac:dyDescent="0.2">
      <c r="A15" s="4" t="s">
        <v>2</v>
      </c>
      <c r="B15" s="5">
        <v>18</v>
      </c>
      <c r="C15" s="5">
        <v>15</v>
      </c>
      <c r="D15" s="5">
        <v>1</v>
      </c>
      <c r="E15" s="5">
        <v>0</v>
      </c>
      <c r="F15" s="12">
        <f>SUM(GovByAssemblyDistrict114General[[#This Row],[Essex County Vote Results]:[Part of Washington County Vote Results]])</f>
        <v>34</v>
      </c>
      <c r="G15" s="14"/>
    </row>
    <row r="16" spans="1:7" hidden="1" x14ac:dyDescent="0.2">
      <c r="A16" s="4" t="s">
        <v>4</v>
      </c>
      <c r="B16" s="6">
        <f>SUBTOTAL(109,GovByAssemblyDistrict114General[Essex County Vote Results])</f>
        <v>14787</v>
      </c>
      <c r="C16" s="6"/>
      <c r="D16" s="6"/>
      <c r="E16" s="6">
        <f>SUBTOTAL(109,GovByAssemblyDistrict114General[Part of Washington County Vote Results])</f>
        <v>5952</v>
      </c>
      <c r="F16" s="6"/>
      <c r="G16" s="9"/>
    </row>
  </sheetData>
  <pageMargins left="0.7" right="0.7" top="0.75" bottom="0.75" header="0.3" footer="0.3"/>
  <tableParts count="1">
    <tablePart r:id="rId1"/>
  </tableParts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1279A-FD03-44F3-9AE8-1C3A68095D32}">
  <dimension ref="A1:F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6" width="20.5703125" customWidth="1"/>
    <col min="7" max="8" width="23.5703125" customWidth="1"/>
  </cols>
  <sheetData>
    <row r="1" spans="1:6" ht="24.75" customHeight="1" x14ac:dyDescent="0.2">
      <c r="A1" s="1" t="s">
        <v>159</v>
      </c>
    </row>
    <row r="2" spans="1:6" ht="25.5" x14ac:dyDescent="0.2">
      <c r="A2" s="7" t="s">
        <v>12</v>
      </c>
      <c r="B2" s="8" t="s">
        <v>160</v>
      </c>
      <c r="C2" s="8" t="s">
        <v>161</v>
      </c>
      <c r="D2" s="8" t="s">
        <v>162</v>
      </c>
      <c r="E2" s="10" t="s">
        <v>228</v>
      </c>
      <c r="F2" s="11" t="s">
        <v>5</v>
      </c>
    </row>
    <row r="3" spans="1:6" x14ac:dyDescent="0.2">
      <c r="A3" s="2" t="s">
        <v>3</v>
      </c>
      <c r="B3" s="3">
        <v>10591</v>
      </c>
      <c r="C3" s="3">
        <v>5132</v>
      </c>
      <c r="D3" s="3">
        <v>484</v>
      </c>
      <c r="E3" s="12">
        <f>SUM(GovByAssemblyDistrict115General[[#This Row],[Clinton County Vote Results]:[Part of St. Lawrence County Vote Results]])</f>
        <v>16207</v>
      </c>
      <c r="F3" s="13">
        <f>SUM(E3,E7,E8,E9)</f>
        <v>17475</v>
      </c>
    </row>
    <row r="4" spans="1:6" x14ac:dyDescent="0.2">
      <c r="A4" s="2" t="s">
        <v>14</v>
      </c>
      <c r="B4" s="3">
        <v>12037</v>
      </c>
      <c r="C4" s="3">
        <v>6463</v>
      </c>
      <c r="D4" s="3">
        <v>881</v>
      </c>
      <c r="E4" s="12">
        <f>SUM(GovByAssemblyDistrict115General[[#This Row],[Clinton County Vote Results]:[Part of St. Lawrence County Vote Results]])</f>
        <v>19381</v>
      </c>
      <c r="F4" s="13">
        <f>SUM(E4,E5,E10)</f>
        <v>21219</v>
      </c>
    </row>
    <row r="5" spans="1:6" x14ac:dyDescent="0.2">
      <c r="A5" s="2" t="s">
        <v>15</v>
      </c>
      <c r="B5" s="3">
        <v>1000</v>
      </c>
      <c r="C5" s="3">
        <v>463</v>
      </c>
      <c r="D5" s="3">
        <v>92</v>
      </c>
      <c r="E5" s="12">
        <f>SUM(GovByAssemblyDistrict115General[[#This Row],[Clinton County Vote Results]:[Part of St. Lawrence County Vote Results]])</f>
        <v>1555</v>
      </c>
      <c r="F5" s="14"/>
    </row>
    <row r="6" spans="1:6" x14ac:dyDescent="0.2">
      <c r="A6" s="2" t="s">
        <v>6</v>
      </c>
      <c r="B6" s="3">
        <v>391</v>
      </c>
      <c r="C6" s="3">
        <v>236</v>
      </c>
      <c r="D6" s="3">
        <v>33</v>
      </c>
      <c r="E6" s="12">
        <f>SUM(GovByAssemblyDistrict115General[[#This Row],[Clinton County Vote Results]:[Part of St. Lawrence County Vote Results]])</f>
        <v>660</v>
      </c>
      <c r="F6" s="13">
        <f>GovByAssemblyDistrict115General[[#This Row],[Total Votes by Party]]</f>
        <v>660</v>
      </c>
    </row>
    <row r="7" spans="1:6" x14ac:dyDescent="0.2">
      <c r="A7" s="2" t="s">
        <v>7</v>
      </c>
      <c r="B7" s="3">
        <v>361</v>
      </c>
      <c r="C7" s="3">
        <v>119</v>
      </c>
      <c r="D7" s="3">
        <v>12</v>
      </c>
      <c r="E7" s="12">
        <f>SUM(GovByAssemblyDistrict115General[[#This Row],[Clinton County Vote Results]:[Part of St. Lawrence County Vote Results]])</f>
        <v>492</v>
      </c>
      <c r="F7" s="14"/>
    </row>
    <row r="8" spans="1:6" x14ac:dyDescent="0.2">
      <c r="A8" s="2" t="s">
        <v>8</v>
      </c>
      <c r="B8" s="3">
        <v>434</v>
      </c>
      <c r="C8" s="3">
        <v>177</v>
      </c>
      <c r="D8" s="3">
        <v>15</v>
      </c>
      <c r="E8" s="12">
        <f>SUM(GovByAssemblyDistrict115General[[#This Row],[Clinton County Vote Results]:[Part of St. Lawrence County Vote Results]])</f>
        <v>626</v>
      </c>
      <c r="F8" s="14"/>
    </row>
    <row r="9" spans="1:6" x14ac:dyDescent="0.2">
      <c r="A9" s="2" t="s">
        <v>9</v>
      </c>
      <c r="B9" s="3">
        <v>99</v>
      </c>
      <c r="C9" s="3">
        <v>44</v>
      </c>
      <c r="D9" s="3">
        <v>7</v>
      </c>
      <c r="E9" s="12">
        <f>SUM(GovByAssemblyDistrict115General[[#This Row],[Clinton County Vote Results]:[Part of St. Lawrence County Vote Results]])</f>
        <v>150</v>
      </c>
      <c r="F9" s="14"/>
    </row>
    <row r="10" spans="1:6" x14ac:dyDescent="0.2">
      <c r="A10" s="2" t="s">
        <v>16</v>
      </c>
      <c r="B10" s="3">
        <v>190</v>
      </c>
      <c r="C10" s="3">
        <v>81</v>
      </c>
      <c r="D10" s="3">
        <v>12</v>
      </c>
      <c r="E10" s="12">
        <f>SUM(GovByAssemblyDistrict115General[[#This Row],[Clinton County Vote Results]:[Part of St. Lawrence County Vote Results]])</f>
        <v>283</v>
      </c>
      <c r="F10" s="14"/>
    </row>
    <row r="11" spans="1:6" x14ac:dyDescent="0.2">
      <c r="A11" s="2" t="s">
        <v>10</v>
      </c>
      <c r="B11" s="3">
        <v>733</v>
      </c>
      <c r="C11" s="3">
        <v>1053</v>
      </c>
      <c r="D11" s="3">
        <v>149</v>
      </c>
      <c r="E11" s="12">
        <f>SUM(GovByAssemblyDistrict115General[[#This Row],[Clinton County Vote Results]:[Part of St. Lawrence County Vote Results]])</f>
        <v>1935</v>
      </c>
      <c r="F11" s="13">
        <f>GovByAssemblyDistrict115General[[#This Row],[Total Votes by Party]]</f>
        <v>1935</v>
      </c>
    </row>
    <row r="12" spans="1:6" x14ac:dyDescent="0.2">
      <c r="A12" s="4" t="s">
        <v>11</v>
      </c>
      <c r="B12" s="3">
        <v>283</v>
      </c>
      <c r="C12" s="3">
        <v>257</v>
      </c>
      <c r="D12" s="3">
        <v>18</v>
      </c>
      <c r="E12" s="12">
        <f>SUM(GovByAssemblyDistrict115General[[#This Row],[Clinton County Vote Results]:[Part of St. Lawrence County Vote Results]])</f>
        <v>558</v>
      </c>
      <c r="F12" s="13">
        <f>GovByAssemblyDistrict115General[[#This Row],[Total Votes by Party]]</f>
        <v>558</v>
      </c>
    </row>
    <row r="13" spans="1:6" x14ac:dyDescent="0.2">
      <c r="A13" s="4" t="s">
        <v>0</v>
      </c>
      <c r="B13" s="3">
        <v>985</v>
      </c>
      <c r="C13" s="3">
        <v>356</v>
      </c>
      <c r="D13" s="3">
        <v>75</v>
      </c>
      <c r="E13" s="12">
        <f>SUM(GovByAssemblyDistrict115General[[#This Row],[Clinton County Vote Results]:[Part of St. Lawrence County Vote Results]])</f>
        <v>1416</v>
      </c>
      <c r="F13" s="14"/>
    </row>
    <row r="14" spans="1:6" x14ac:dyDescent="0.2">
      <c r="A14" s="4" t="s">
        <v>1</v>
      </c>
      <c r="B14" s="3">
        <v>15</v>
      </c>
      <c r="C14" s="3">
        <v>4</v>
      </c>
      <c r="D14" s="3">
        <v>0</v>
      </c>
      <c r="E14" s="12">
        <f>SUM(GovByAssemblyDistrict115General[[#This Row],[Clinton County Vote Results]:[Part of St. Lawrence County Vote Results]])</f>
        <v>19</v>
      </c>
      <c r="F14" s="14"/>
    </row>
    <row r="15" spans="1:6" x14ac:dyDescent="0.2">
      <c r="A15" s="4" t="s">
        <v>2</v>
      </c>
      <c r="B15" s="5">
        <v>15</v>
      </c>
      <c r="C15" s="5">
        <v>5</v>
      </c>
      <c r="D15" s="5">
        <v>1</v>
      </c>
      <c r="E15" s="12">
        <f>SUM(GovByAssemblyDistrict115General[[#This Row],[Clinton County Vote Results]:[Part of St. Lawrence County Vote Results]])</f>
        <v>21</v>
      </c>
      <c r="F15" s="14"/>
    </row>
    <row r="16" spans="1:6" hidden="1" x14ac:dyDescent="0.2">
      <c r="A16" s="4" t="s">
        <v>4</v>
      </c>
      <c r="B16" s="6">
        <f>SUBTOTAL(109,GovByAssemblyDistrict115General[Clinton County Vote Results])</f>
        <v>27134</v>
      </c>
      <c r="C16" s="6"/>
      <c r="D16" s="6">
        <f>SUBTOTAL(109,GovByAssemblyDistrict115General[Part of St. Lawrence County Vote Results])</f>
        <v>1779</v>
      </c>
      <c r="E16" s="6"/>
      <c r="F16" s="9"/>
    </row>
  </sheetData>
  <pageMargins left="0.7" right="0.7" top="0.75" bottom="0.75" header="0.3" footer="0.3"/>
  <tableParts count="1">
    <tablePart r:id="rId1"/>
  </tableParts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64039-FFDC-487F-86F5-49298BF1C32F}">
  <dimension ref="A1:E16"/>
  <sheetViews>
    <sheetView workbookViewId="0">
      <selection activeCell="B19" sqref="B19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24.75" customHeight="1" x14ac:dyDescent="0.2">
      <c r="A1" s="1" t="s">
        <v>163</v>
      </c>
    </row>
    <row r="2" spans="1:5" ht="25.5" x14ac:dyDescent="0.2">
      <c r="A2" s="7" t="s">
        <v>12</v>
      </c>
      <c r="B2" s="8" t="s">
        <v>164</v>
      </c>
      <c r="C2" s="8" t="s">
        <v>162</v>
      </c>
      <c r="D2" s="10" t="s">
        <v>228</v>
      </c>
      <c r="E2" s="11" t="s">
        <v>5</v>
      </c>
    </row>
    <row r="3" spans="1:5" x14ac:dyDescent="0.2">
      <c r="A3" s="2" t="s">
        <v>3</v>
      </c>
      <c r="B3" s="3">
        <v>5541</v>
      </c>
      <c r="C3" s="3">
        <v>7244</v>
      </c>
      <c r="D3" s="12">
        <f>SUM(GovByAssemblyDistrict116General[[#This Row],[Part of Jefferson County Vote Results]:[Part of St. Lawrence County Vote Results]])</f>
        <v>12785</v>
      </c>
      <c r="E3" s="13">
        <f>SUM(D3,D7,D8,D9)</f>
        <v>13641</v>
      </c>
    </row>
    <row r="4" spans="1:5" x14ac:dyDescent="0.2">
      <c r="A4" s="2" t="s">
        <v>14</v>
      </c>
      <c r="B4" s="3">
        <v>10326</v>
      </c>
      <c r="C4" s="3">
        <v>9700</v>
      </c>
      <c r="D4" s="12">
        <f>SUM(GovByAssemblyDistrict116General[[#This Row],[Part of Jefferson County Vote Results]:[Part of St. Lawrence County Vote Results]])</f>
        <v>20026</v>
      </c>
      <c r="E4" s="13">
        <f>SUM(D4,D5,D10)</f>
        <v>22488</v>
      </c>
    </row>
    <row r="5" spans="1:5" x14ac:dyDescent="0.2">
      <c r="A5" s="2" t="s">
        <v>15</v>
      </c>
      <c r="B5" s="3">
        <v>1098</v>
      </c>
      <c r="C5" s="3">
        <v>1057</v>
      </c>
      <c r="D5" s="12">
        <f>SUM(GovByAssemblyDistrict116General[[#This Row],[Part of Jefferson County Vote Results]:[Part of St. Lawrence County Vote Results]])</f>
        <v>2155</v>
      </c>
      <c r="E5" s="14"/>
    </row>
    <row r="6" spans="1:5" x14ac:dyDescent="0.2">
      <c r="A6" s="2" t="s">
        <v>6</v>
      </c>
      <c r="B6" s="3">
        <v>258</v>
      </c>
      <c r="C6" s="3">
        <v>322</v>
      </c>
      <c r="D6" s="12">
        <f>SUM(GovByAssemblyDistrict116General[[#This Row],[Part of Jefferson County Vote Results]:[Part of St. Lawrence County Vote Results]])</f>
        <v>580</v>
      </c>
      <c r="E6" s="13">
        <f>GovByAssemblyDistrict116General[[#This Row],[Total Votes by Party]]</f>
        <v>580</v>
      </c>
    </row>
    <row r="7" spans="1:5" x14ac:dyDescent="0.2">
      <c r="A7" s="2" t="s">
        <v>7</v>
      </c>
      <c r="B7" s="3">
        <v>120</v>
      </c>
      <c r="C7" s="3">
        <v>199</v>
      </c>
      <c r="D7" s="12">
        <f>SUM(GovByAssemblyDistrict116General[[#This Row],[Part of Jefferson County Vote Results]:[Part of St. Lawrence County Vote Results]])</f>
        <v>319</v>
      </c>
      <c r="E7" s="14"/>
    </row>
    <row r="8" spans="1:5" x14ac:dyDescent="0.2">
      <c r="A8" s="2" t="s">
        <v>8</v>
      </c>
      <c r="B8" s="3">
        <v>199</v>
      </c>
      <c r="C8" s="3">
        <v>167</v>
      </c>
      <c r="D8" s="12">
        <f>SUM(GovByAssemblyDistrict116General[[#This Row],[Part of Jefferson County Vote Results]:[Part of St. Lawrence County Vote Results]])</f>
        <v>366</v>
      </c>
      <c r="E8" s="14"/>
    </row>
    <row r="9" spans="1:5" x14ac:dyDescent="0.2">
      <c r="A9" s="2" t="s">
        <v>9</v>
      </c>
      <c r="B9" s="3">
        <v>71</v>
      </c>
      <c r="C9" s="3">
        <v>100</v>
      </c>
      <c r="D9" s="12">
        <f>SUM(GovByAssemblyDistrict116General[[#This Row],[Part of Jefferson County Vote Results]:[Part of St. Lawrence County Vote Results]])</f>
        <v>171</v>
      </c>
      <c r="E9" s="14"/>
    </row>
    <row r="10" spans="1:5" x14ac:dyDescent="0.2">
      <c r="A10" s="2" t="s">
        <v>16</v>
      </c>
      <c r="B10" s="3">
        <v>167</v>
      </c>
      <c r="C10" s="3">
        <v>140</v>
      </c>
      <c r="D10" s="12">
        <f>SUM(GovByAssemblyDistrict116General[[#This Row],[Part of Jefferson County Vote Results]:[Part of St. Lawrence County Vote Results]])</f>
        <v>307</v>
      </c>
      <c r="E10" s="14"/>
    </row>
    <row r="11" spans="1:5" x14ac:dyDescent="0.2">
      <c r="A11" s="2" t="s">
        <v>10</v>
      </c>
      <c r="B11" s="3">
        <v>541</v>
      </c>
      <c r="C11" s="3">
        <v>789</v>
      </c>
      <c r="D11" s="12">
        <f>SUM(GovByAssemblyDistrict116General[[#This Row],[Part of Jefferson County Vote Results]:[Part of St. Lawrence County Vote Results]])</f>
        <v>1330</v>
      </c>
      <c r="E11" s="13">
        <f>GovByAssemblyDistrict116General[[#This Row],[Total Votes by Party]]</f>
        <v>1330</v>
      </c>
    </row>
    <row r="12" spans="1:5" x14ac:dyDescent="0.2">
      <c r="A12" s="4" t="s">
        <v>11</v>
      </c>
      <c r="B12" s="3">
        <v>416</v>
      </c>
      <c r="C12" s="3">
        <v>254</v>
      </c>
      <c r="D12" s="12">
        <f>SUM(GovByAssemblyDistrict116General[[#This Row],[Part of Jefferson County Vote Results]:[Part of St. Lawrence County Vote Results]])</f>
        <v>670</v>
      </c>
      <c r="E12" s="13">
        <f>GovByAssemblyDistrict116General[[#This Row],[Total Votes by Party]]</f>
        <v>670</v>
      </c>
    </row>
    <row r="13" spans="1:5" x14ac:dyDescent="0.2">
      <c r="A13" s="4" t="s">
        <v>0</v>
      </c>
      <c r="B13" s="3">
        <v>532</v>
      </c>
      <c r="C13" s="3">
        <v>1058</v>
      </c>
      <c r="D13" s="12">
        <f>SUM(GovByAssemblyDistrict116General[[#This Row],[Part of Jefferson County Vote Results]:[Part of St. Lawrence County Vote Results]])</f>
        <v>1590</v>
      </c>
      <c r="E13" s="14"/>
    </row>
    <row r="14" spans="1:5" x14ac:dyDescent="0.2">
      <c r="A14" s="4" t="s">
        <v>1</v>
      </c>
      <c r="B14" s="3">
        <v>61</v>
      </c>
      <c r="C14" s="3">
        <v>0</v>
      </c>
      <c r="D14" s="12">
        <f>SUM(GovByAssemblyDistrict116General[[#This Row],[Part of Jefferson County Vote Results]:[Part of St. Lawrence County Vote Results]])</f>
        <v>61</v>
      </c>
      <c r="E14" s="14"/>
    </row>
    <row r="15" spans="1:5" x14ac:dyDescent="0.2">
      <c r="A15" s="4" t="s">
        <v>2</v>
      </c>
      <c r="B15" s="5">
        <v>16</v>
      </c>
      <c r="C15" s="5">
        <v>15</v>
      </c>
      <c r="D15" s="12">
        <f>SUM(GovByAssemblyDistrict116General[[#This Row],[Part of Jefferson County Vote Results]:[Part of St. Lawrence County Vote Results]])</f>
        <v>31</v>
      </c>
      <c r="E15" s="14"/>
    </row>
    <row r="16" spans="1:5" hidden="1" x14ac:dyDescent="0.2">
      <c r="A16" s="4" t="s">
        <v>4</v>
      </c>
      <c r="B16" s="6">
        <f>SUBTOTAL(109,GovByAssemblyDistrict116General[Part of Jefferson County Vote Results])</f>
        <v>19346</v>
      </c>
      <c r="C16" s="6">
        <f>SUBTOTAL(109,GovByAssemblyDistrict116General[Part of St. Lawrence County Vote Results])</f>
        <v>21045</v>
      </c>
      <c r="D16" s="6"/>
      <c r="E16" s="9"/>
    </row>
  </sheetData>
  <pageMargins left="0.7" right="0.7" top="0.75" bottom="0.75" header="0.3" footer="0.3"/>
  <tableParts count="1">
    <tablePart r:id="rId1"/>
  </tableParts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4B3A4-DD12-4E1B-92CD-C8ECE9AE7AAE}">
  <dimension ref="A1:G16"/>
  <sheetViews>
    <sheetView workbookViewId="0">
      <selection activeCell="D18" sqref="D18"/>
    </sheetView>
  </sheetViews>
  <sheetFormatPr defaultRowHeight="12.75" x14ac:dyDescent="0.2"/>
  <cols>
    <col min="1" max="1" width="25.5703125" customWidth="1"/>
    <col min="2" max="7" width="20.5703125" customWidth="1"/>
    <col min="8" max="9" width="23.5703125" customWidth="1"/>
  </cols>
  <sheetData>
    <row r="1" spans="1:7" ht="24.75" customHeight="1" x14ac:dyDescent="0.2">
      <c r="A1" s="1" t="s">
        <v>165</v>
      </c>
    </row>
    <row r="2" spans="1:7" ht="25.5" x14ac:dyDescent="0.2">
      <c r="A2" s="7" t="s">
        <v>12</v>
      </c>
      <c r="B2" s="8" t="s">
        <v>166</v>
      </c>
      <c r="C2" s="8" t="s">
        <v>164</v>
      </c>
      <c r="D2" s="8" t="s">
        <v>131</v>
      </c>
      <c r="E2" s="8" t="s">
        <v>162</v>
      </c>
      <c r="F2" s="10" t="s">
        <v>228</v>
      </c>
      <c r="G2" s="11" t="s">
        <v>5</v>
      </c>
    </row>
    <row r="3" spans="1:7" x14ac:dyDescent="0.2">
      <c r="A3" s="2" t="s">
        <v>3</v>
      </c>
      <c r="B3" s="3">
        <v>1718</v>
      </c>
      <c r="C3" s="3">
        <v>2499</v>
      </c>
      <c r="D3" s="3">
        <v>4242</v>
      </c>
      <c r="E3" s="3">
        <v>1032</v>
      </c>
      <c r="F3" s="12">
        <f>SUM(GovByAssemblyDistrict117General[[#This Row],[Lewis County Vote Results]:[Part of St. Lawrence County Vote Results]])</f>
        <v>9491</v>
      </c>
      <c r="G3" s="13">
        <f>SUM(F3,F7,F8,F9)</f>
        <v>10242</v>
      </c>
    </row>
    <row r="4" spans="1:7" x14ac:dyDescent="0.2">
      <c r="A4" s="2" t="s">
        <v>14</v>
      </c>
      <c r="B4" s="3">
        <v>5945</v>
      </c>
      <c r="C4" s="3">
        <v>6035</v>
      </c>
      <c r="D4" s="3">
        <v>8532</v>
      </c>
      <c r="E4" s="3">
        <v>2615</v>
      </c>
      <c r="F4" s="12">
        <f>SUM(GovByAssemblyDistrict117General[[#This Row],[Lewis County Vote Results]:[Part of St. Lawrence County Vote Results]])</f>
        <v>23127</v>
      </c>
      <c r="G4" s="13">
        <f>SUM(F4,F5,F10)</f>
        <v>25830</v>
      </c>
    </row>
    <row r="5" spans="1:7" x14ac:dyDescent="0.2">
      <c r="A5" s="2" t="s">
        <v>15</v>
      </c>
      <c r="B5" s="3">
        <v>534</v>
      </c>
      <c r="C5" s="3">
        <v>581</v>
      </c>
      <c r="D5" s="3">
        <v>1011</v>
      </c>
      <c r="E5" s="3">
        <v>294</v>
      </c>
      <c r="F5" s="12">
        <f>SUM(GovByAssemblyDistrict117General[[#This Row],[Lewis County Vote Results]:[Part of St. Lawrence County Vote Results]])</f>
        <v>2420</v>
      </c>
      <c r="G5" s="14"/>
    </row>
    <row r="6" spans="1:7" x14ac:dyDescent="0.2">
      <c r="A6" s="2" t="s">
        <v>6</v>
      </c>
      <c r="B6" s="3">
        <v>102</v>
      </c>
      <c r="C6" s="3">
        <v>127</v>
      </c>
      <c r="D6" s="3">
        <v>245</v>
      </c>
      <c r="E6" s="3">
        <v>66</v>
      </c>
      <c r="F6" s="12">
        <f>SUM(GovByAssemblyDistrict117General[[#This Row],[Lewis County Vote Results]:[Part of St. Lawrence County Vote Results]])</f>
        <v>540</v>
      </c>
      <c r="G6" s="13">
        <f>GovByAssemblyDistrict117General[[#This Row],[Total Votes by Party]]</f>
        <v>540</v>
      </c>
    </row>
    <row r="7" spans="1:7" x14ac:dyDescent="0.2">
      <c r="A7" s="2" t="s">
        <v>7</v>
      </c>
      <c r="B7" s="3">
        <v>34</v>
      </c>
      <c r="C7" s="3">
        <v>49</v>
      </c>
      <c r="D7" s="3">
        <v>140</v>
      </c>
      <c r="E7" s="3">
        <v>24</v>
      </c>
      <c r="F7" s="12">
        <f>SUM(GovByAssemblyDistrict117General[[#This Row],[Lewis County Vote Results]:[Part of St. Lawrence County Vote Results]])</f>
        <v>247</v>
      </c>
      <c r="G7" s="14"/>
    </row>
    <row r="8" spans="1:7" x14ac:dyDescent="0.2">
      <c r="A8" s="2" t="s">
        <v>8</v>
      </c>
      <c r="B8" s="3">
        <v>71</v>
      </c>
      <c r="C8" s="3">
        <v>86</v>
      </c>
      <c r="D8" s="3">
        <v>173</v>
      </c>
      <c r="E8" s="3">
        <v>46</v>
      </c>
      <c r="F8" s="12">
        <f>SUM(GovByAssemblyDistrict117General[[#This Row],[Lewis County Vote Results]:[Part of St. Lawrence County Vote Results]])</f>
        <v>376</v>
      </c>
      <c r="G8" s="14"/>
    </row>
    <row r="9" spans="1:7" x14ac:dyDescent="0.2">
      <c r="A9" s="2" t="s">
        <v>9</v>
      </c>
      <c r="B9" s="3">
        <v>31</v>
      </c>
      <c r="C9" s="3">
        <v>32</v>
      </c>
      <c r="D9" s="3">
        <v>56</v>
      </c>
      <c r="E9" s="3">
        <v>9</v>
      </c>
      <c r="F9" s="12">
        <f>SUM(GovByAssemblyDistrict117General[[#This Row],[Lewis County Vote Results]:[Part of St. Lawrence County Vote Results]])</f>
        <v>128</v>
      </c>
      <c r="G9" s="14"/>
    </row>
    <row r="10" spans="1:7" x14ac:dyDescent="0.2">
      <c r="A10" s="2" t="s">
        <v>16</v>
      </c>
      <c r="B10" s="3">
        <v>74</v>
      </c>
      <c r="C10" s="3">
        <v>63</v>
      </c>
      <c r="D10" s="3">
        <v>110</v>
      </c>
      <c r="E10" s="3">
        <v>36</v>
      </c>
      <c r="F10" s="12">
        <f>SUM(GovByAssemblyDistrict117General[[#This Row],[Lewis County Vote Results]:[Part of St. Lawrence County Vote Results]])</f>
        <v>283</v>
      </c>
      <c r="G10" s="14"/>
    </row>
    <row r="11" spans="1:7" x14ac:dyDescent="0.2">
      <c r="A11" s="2" t="s">
        <v>10</v>
      </c>
      <c r="B11" s="3">
        <v>412</v>
      </c>
      <c r="C11" s="3">
        <v>286</v>
      </c>
      <c r="D11" s="3">
        <v>749</v>
      </c>
      <c r="E11" s="3">
        <v>148</v>
      </c>
      <c r="F11" s="12">
        <f>SUM(GovByAssemblyDistrict117General[[#This Row],[Lewis County Vote Results]:[Part of St. Lawrence County Vote Results]])</f>
        <v>1595</v>
      </c>
      <c r="G11" s="13">
        <f>GovByAssemblyDistrict117General[[#This Row],[Total Votes by Party]]</f>
        <v>1595</v>
      </c>
    </row>
    <row r="12" spans="1:7" x14ac:dyDescent="0.2">
      <c r="A12" s="4" t="s">
        <v>11</v>
      </c>
      <c r="B12" s="3">
        <v>130</v>
      </c>
      <c r="C12" s="3">
        <v>170</v>
      </c>
      <c r="D12" s="3">
        <v>342</v>
      </c>
      <c r="E12" s="3">
        <v>57</v>
      </c>
      <c r="F12" s="12">
        <f>SUM(GovByAssemblyDistrict117General[[#This Row],[Lewis County Vote Results]:[Part of St. Lawrence County Vote Results]])</f>
        <v>699</v>
      </c>
      <c r="G12" s="13">
        <f>GovByAssemblyDistrict117General[[#This Row],[Total Votes by Party]]</f>
        <v>699</v>
      </c>
    </row>
    <row r="13" spans="1:7" x14ac:dyDescent="0.2">
      <c r="A13" s="4" t="s">
        <v>0</v>
      </c>
      <c r="B13" s="3">
        <v>333</v>
      </c>
      <c r="C13" s="3">
        <v>227</v>
      </c>
      <c r="D13" s="3">
        <v>444</v>
      </c>
      <c r="E13" s="3">
        <v>213</v>
      </c>
      <c r="F13" s="12">
        <f>SUM(GovByAssemblyDistrict117General[[#This Row],[Lewis County Vote Results]:[Part of St. Lawrence County Vote Results]])</f>
        <v>1217</v>
      </c>
      <c r="G13" s="14"/>
    </row>
    <row r="14" spans="1:7" x14ac:dyDescent="0.2">
      <c r="A14" s="4" t="s">
        <v>1</v>
      </c>
      <c r="B14" s="3">
        <v>0</v>
      </c>
      <c r="C14" s="3">
        <v>19</v>
      </c>
      <c r="D14" s="3">
        <v>0</v>
      </c>
      <c r="E14" s="3">
        <v>0</v>
      </c>
      <c r="F14" s="12">
        <f>SUM(GovByAssemblyDistrict117General[[#This Row],[Lewis County Vote Results]:[Part of St. Lawrence County Vote Results]])</f>
        <v>19</v>
      </c>
      <c r="G14" s="14"/>
    </row>
    <row r="15" spans="1:7" x14ac:dyDescent="0.2">
      <c r="A15" s="4" t="s">
        <v>2</v>
      </c>
      <c r="B15" s="5">
        <v>5</v>
      </c>
      <c r="C15" s="5">
        <v>2</v>
      </c>
      <c r="D15" s="5">
        <v>6</v>
      </c>
      <c r="E15" s="5">
        <v>3</v>
      </c>
      <c r="F15" s="12">
        <f>SUM(GovByAssemblyDistrict117General[[#This Row],[Lewis County Vote Results]:[Part of St. Lawrence County Vote Results]])</f>
        <v>16</v>
      </c>
      <c r="G15" s="14"/>
    </row>
    <row r="16" spans="1:7" hidden="1" x14ac:dyDescent="0.2">
      <c r="A16" s="4" t="s">
        <v>4</v>
      </c>
      <c r="B16" s="6">
        <f>SUBTOTAL(109,GovByAssemblyDistrict117General[Lewis County Vote Results])</f>
        <v>9389</v>
      </c>
      <c r="C16" s="6"/>
      <c r="D16" s="6"/>
      <c r="E16" s="6">
        <f>SUBTOTAL(109,GovByAssemblyDistrict117General[Part of St. Lawrence County Vote Results])</f>
        <v>4543</v>
      </c>
      <c r="F16" s="6"/>
      <c r="G16" s="9"/>
    </row>
  </sheetData>
  <pageMargins left="0.7" right="0.7" top="0.75" bottom="0.75" header="0.3" footer="0.3"/>
  <tableParts count="1">
    <tablePart r:id="rId1"/>
  </tableParts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2CEBF-9720-4C6E-91A1-7DD77894F0E0}">
  <dimension ref="A1:H16"/>
  <sheetViews>
    <sheetView workbookViewId="0">
      <selection activeCell="E18" sqref="E18"/>
    </sheetView>
  </sheetViews>
  <sheetFormatPr defaultRowHeight="12.75" x14ac:dyDescent="0.2"/>
  <cols>
    <col min="1" max="1" width="25.5703125" customWidth="1"/>
    <col min="2" max="8" width="20.5703125" customWidth="1"/>
    <col min="9" max="10" width="23.5703125" customWidth="1"/>
  </cols>
  <sheetData>
    <row r="1" spans="1:8" ht="24.75" customHeight="1" x14ac:dyDescent="0.2">
      <c r="A1" s="1" t="s">
        <v>167</v>
      </c>
    </row>
    <row r="2" spans="1:8" ht="25.5" x14ac:dyDescent="0.2">
      <c r="A2" s="7" t="s">
        <v>12</v>
      </c>
      <c r="B2" s="8" t="s">
        <v>168</v>
      </c>
      <c r="C2" s="8" t="s">
        <v>169</v>
      </c>
      <c r="D2" s="8" t="s">
        <v>130</v>
      </c>
      <c r="E2" s="8" t="s">
        <v>131</v>
      </c>
      <c r="F2" s="8" t="s">
        <v>162</v>
      </c>
      <c r="G2" s="10" t="s">
        <v>228</v>
      </c>
      <c r="H2" s="11" t="s">
        <v>5</v>
      </c>
    </row>
    <row r="3" spans="1:8" x14ac:dyDescent="0.2">
      <c r="A3" s="2" t="s">
        <v>3</v>
      </c>
      <c r="B3" s="3">
        <v>3846</v>
      </c>
      <c r="C3" s="3">
        <v>676</v>
      </c>
      <c r="D3" s="3">
        <v>2250</v>
      </c>
      <c r="E3" s="3">
        <v>2271</v>
      </c>
      <c r="F3" s="3">
        <v>1918</v>
      </c>
      <c r="G3" s="12">
        <f>SUM(GovByAssemblyDistrict118General[[#This Row],[Fulton County Vote Results]:[Part of St. Lawrence County Vote Results]])</f>
        <v>10961</v>
      </c>
      <c r="H3" s="13">
        <f>SUM(G3,G7,G8,G9)</f>
        <v>11706</v>
      </c>
    </row>
    <row r="4" spans="1:8" x14ac:dyDescent="0.2">
      <c r="A4" s="2" t="s">
        <v>14</v>
      </c>
      <c r="B4" s="3">
        <v>10717</v>
      </c>
      <c r="C4" s="3">
        <v>1606</v>
      </c>
      <c r="D4" s="3">
        <v>4915</v>
      </c>
      <c r="E4" s="3">
        <v>5538</v>
      </c>
      <c r="F4" s="3">
        <v>3436</v>
      </c>
      <c r="G4" s="12">
        <f>SUM(GovByAssemblyDistrict118General[[#This Row],[Fulton County Vote Results]:[Part of St. Lawrence County Vote Results]])</f>
        <v>26212</v>
      </c>
      <c r="H4" s="13">
        <f>SUM(G4,G5,G10)</f>
        <v>29238</v>
      </c>
    </row>
    <row r="5" spans="1:8" x14ac:dyDescent="0.2">
      <c r="A5" s="2" t="s">
        <v>15</v>
      </c>
      <c r="B5" s="3">
        <v>1079</v>
      </c>
      <c r="C5" s="3">
        <v>172</v>
      </c>
      <c r="D5" s="3">
        <v>560</v>
      </c>
      <c r="E5" s="3">
        <v>597</v>
      </c>
      <c r="F5" s="3">
        <v>319</v>
      </c>
      <c r="G5" s="12">
        <f>SUM(GovByAssemblyDistrict118General[[#This Row],[Fulton County Vote Results]:[Part of St. Lawrence County Vote Results]])</f>
        <v>2727</v>
      </c>
      <c r="H5" s="14"/>
    </row>
    <row r="6" spans="1:8" x14ac:dyDescent="0.2">
      <c r="A6" s="2" t="s">
        <v>6</v>
      </c>
      <c r="B6" s="3">
        <v>203</v>
      </c>
      <c r="C6" s="3">
        <v>23</v>
      </c>
      <c r="D6" s="3">
        <v>143</v>
      </c>
      <c r="E6" s="3">
        <v>110</v>
      </c>
      <c r="F6" s="3">
        <v>117</v>
      </c>
      <c r="G6" s="12">
        <f>SUM(GovByAssemblyDistrict118General[[#This Row],[Fulton County Vote Results]:[Part of St. Lawrence County Vote Results]])</f>
        <v>596</v>
      </c>
      <c r="H6" s="13">
        <f>GovByAssemblyDistrict118General[[#This Row],[Total Votes by Party]]</f>
        <v>596</v>
      </c>
    </row>
    <row r="7" spans="1:8" x14ac:dyDescent="0.2">
      <c r="A7" s="2" t="s">
        <v>7</v>
      </c>
      <c r="B7" s="3">
        <v>85</v>
      </c>
      <c r="C7" s="3">
        <v>19</v>
      </c>
      <c r="D7" s="3">
        <v>44</v>
      </c>
      <c r="E7" s="3">
        <v>63</v>
      </c>
      <c r="F7" s="3">
        <v>46</v>
      </c>
      <c r="G7" s="12">
        <f>SUM(GovByAssemblyDistrict118General[[#This Row],[Fulton County Vote Results]:[Part of St. Lawrence County Vote Results]])</f>
        <v>257</v>
      </c>
      <c r="H7" s="14"/>
    </row>
    <row r="8" spans="1:8" x14ac:dyDescent="0.2">
      <c r="A8" s="2" t="s">
        <v>8</v>
      </c>
      <c r="B8" s="3">
        <v>101</v>
      </c>
      <c r="C8" s="3">
        <v>17</v>
      </c>
      <c r="D8" s="3">
        <v>71</v>
      </c>
      <c r="E8" s="3">
        <v>114</v>
      </c>
      <c r="F8" s="3">
        <v>52</v>
      </c>
      <c r="G8" s="12">
        <f>SUM(GovByAssemblyDistrict118General[[#This Row],[Fulton County Vote Results]:[Part of St. Lawrence County Vote Results]])</f>
        <v>355</v>
      </c>
      <c r="H8" s="14"/>
    </row>
    <row r="9" spans="1:8" x14ac:dyDescent="0.2">
      <c r="A9" s="2" t="s">
        <v>9</v>
      </c>
      <c r="B9" s="3">
        <v>48</v>
      </c>
      <c r="C9" s="3">
        <v>10</v>
      </c>
      <c r="D9" s="3">
        <v>24</v>
      </c>
      <c r="E9" s="3">
        <v>30</v>
      </c>
      <c r="F9" s="3">
        <v>21</v>
      </c>
      <c r="G9" s="12">
        <f>SUM(GovByAssemblyDistrict118General[[#This Row],[Fulton County Vote Results]:[Part of St. Lawrence County Vote Results]])</f>
        <v>133</v>
      </c>
      <c r="H9" s="14"/>
    </row>
    <row r="10" spans="1:8" x14ac:dyDescent="0.2">
      <c r="A10" s="2" t="s">
        <v>16</v>
      </c>
      <c r="B10" s="3">
        <v>105</v>
      </c>
      <c r="C10" s="3">
        <v>14</v>
      </c>
      <c r="D10" s="3">
        <v>85</v>
      </c>
      <c r="E10" s="3">
        <v>45</v>
      </c>
      <c r="F10" s="3">
        <v>50</v>
      </c>
      <c r="G10" s="12">
        <f>SUM(GovByAssemblyDistrict118General[[#This Row],[Fulton County Vote Results]:[Part of St. Lawrence County Vote Results]])</f>
        <v>299</v>
      </c>
      <c r="H10" s="14"/>
    </row>
    <row r="11" spans="1:8" x14ac:dyDescent="0.2">
      <c r="A11" s="2" t="s">
        <v>10</v>
      </c>
      <c r="B11" s="3">
        <v>476</v>
      </c>
      <c r="C11" s="3">
        <v>210</v>
      </c>
      <c r="D11" s="3">
        <v>356</v>
      </c>
      <c r="E11" s="3">
        <v>439</v>
      </c>
      <c r="F11" s="3">
        <v>444</v>
      </c>
      <c r="G11" s="12">
        <f>SUM(GovByAssemblyDistrict118General[[#This Row],[Fulton County Vote Results]:[Part of St. Lawrence County Vote Results]])</f>
        <v>1925</v>
      </c>
      <c r="H11" s="13">
        <f>GovByAssemblyDistrict118General[[#This Row],[Total Votes by Party]]</f>
        <v>1925</v>
      </c>
    </row>
    <row r="12" spans="1:8" x14ac:dyDescent="0.2">
      <c r="A12" s="4" t="s">
        <v>11</v>
      </c>
      <c r="B12" s="3">
        <v>159</v>
      </c>
      <c r="C12" s="3">
        <v>31</v>
      </c>
      <c r="D12" s="3">
        <v>111</v>
      </c>
      <c r="E12" s="3">
        <v>162</v>
      </c>
      <c r="F12" s="3">
        <v>73</v>
      </c>
      <c r="G12" s="12">
        <f>SUM(GovByAssemblyDistrict118General[[#This Row],[Fulton County Vote Results]:[Part of St. Lawrence County Vote Results]])</f>
        <v>536</v>
      </c>
      <c r="H12" s="13">
        <f>GovByAssemblyDistrict118General[[#This Row],[Total Votes by Party]]</f>
        <v>536</v>
      </c>
    </row>
    <row r="13" spans="1:8" x14ac:dyDescent="0.2">
      <c r="A13" s="4" t="s">
        <v>0</v>
      </c>
      <c r="B13" s="3">
        <v>636</v>
      </c>
      <c r="C13" s="3">
        <v>82</v>
      </c>
      <c r="D13" s="3">
        <v>314</v>
      </c>
      <c r="E13" s="3">
        <v>230</v>
      </c>
      <c r="F13" s="3">
        <v>258</v>
      </c>
      <c r="G13" s="12">
        <f>SUM(GovByAssemblyDistrict118General[[#This Row],[Fulton County Vote Results]:[Part of St. Lawrence County Vote Results]])</f>
        <v>1520</v>
      </c>
      <c r="H13" s="14"/>
    </row>
    <row r="14" spans="1:8" x14ac:dyDescent="0.2">
      <c r="A14" s="4" t="s">
        <v>1</v>
      </c>
      <c r="B14" s="3">
        <v>24</v>
      </c>
      <c r="C14" s="3">
        <v>4</v>
      </c>
      <c r="D14" s="3">
        <v>6</v>
      </c>
      <c r="E14" s="3">
        <v>0</v>
      </c>
      <c r="F14" s="3">
        <v>0</v>
      </c>
      <c r="G14" s="12">
        <f>SUM(GovByAssemblyDistrict118General[[#This Row],[Fulton County Vote Results]:[Part of St. Lawrence County Vote Results]])</f>
        <v>34</v>
      </c>
      <c r="H14" s="14"/>
    </row>
    <row r="15" spans="1:8" x14ac:dyDescent="0.2">
      <c r="A15" s="4" t="s">
        <v>2</v>
      </c>
      <c r="B15" s="5">
        <v>7</v>
      </c>
      <c r="C15" s="5">
        <v>0</v>
      </c>
      <c r="D15" s="5">
        <v>3</v>
      </c>
      <c r="E15" s="5">
        <v>2</v>
      </c>
      <c r="F15" s="5">
        <v>2</v>
      </c>
      <c r="G15" s="12">
        <f>SUM(GovByAssemblyDistrict118General[[#This Row],[Fulton County Vote Results]:[Part of St. Lawrence County Vote Results]])</f>
        <v>14</v>
      </c>
      <c r="H15" s="14"/>
    </row>
    <row r="16" spans="1:8" hidden="1" x14ac:dyDescent="0.2">
      <c r="A16" s="4" t="s">
        <v>4</v>
      </c>
      <c r="B16" s="6">
        <f>SUBTOTAL(109,GovByAssemblyDistrict118General[Fulton County Vote Results])</f>
        <v>17486</v>
      </c>
      <c r="C16" s="6"/>
      <c r="D16" s="6"/>
      <c r="E16" s="6"/>
      <c r="F16" s="6">
        <f>SUBTOTAL(109,GovByAssemblyDistrict118General[Part of St. Lawrence County Vote Results])</f>
        <v>6736</v>
      </c>
      <c r="G16" s="6"/>
      <c r="H16" s="9"/>
    </row>
  </sheetData>
  <pageMargins left="0.7" right="0.7" top="0.75" bottom="0.75" header="0.3" footer="0.3"/>
  <tableParts count="1">
    <tablePart r:id="rId1"/>
  </tableParts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81070-793A-4409-A524-005DC4B05679}">
  <dimension ref="A1:E16"/>
  <sheetViews>
    <sheetView workbookViewId="0">
      <selection activeCell="C18" sqref="C18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24.75" customHeight="1" x14ac:dyDescent="0.2">
      <c r="A1" s="1" t="s">
        <v>170</v>
      </c>
    </row>
    <row r="2" spans="1:5" ht="25.5" x14ac:dyDescent="0.2">
      <c r="A2" s="7" t="s">
        <v>12</v>
      </c>
      <c r="B2" s="8" t="s">
        <v>130</v>
      </c>
      <c r="C2" s="8" t="s">
        <v>131</v>
      </c>
      <c r="D2" s="10" t="s">
        <v>228</v>
      </c>
      <c r="E2" s="11" t="s">
        <v>5</v>
      </c>
    </row>
    <row r="3" spans="1:5" x14ac:dyDescent="0.2">
      <c r="A3" s="2" t="s">
        <v>3</v>
      </c>
      <c r="B3" s="3">
        <v>748</v>
      </c>
      <c r="C3" s="3">
        <v>13750</v>
      </c>
      <c r="D3" s="12">
        <f>SUM(GovByAssemblyDistrict119General[[#This Row],[Part of Herkimer County Vote Results]:[Part of Oneida County Vote Results]])</f>
        <v>14498</v>
      </c>
      <c r="E3" s="13">
        <f>SUM(D3,D7,D8,D9)</f>
        <v>15578</v>
      </c>
    </row>
    <row r="4" spans="1:5" x14ac:dyDescent="0.2">
      <c r="A4" s="2" t="s">
        <v>14</v>
      </c>
      <c r="B4" s="3">
        <v>1634</v>
      </c>
      <c r="C4" s="3">
        <v>16607</v>
      </c>
      <c r="D4" s="12">
        <f>SUM(GovByAssemblyDistrict119General[[#This Row],[Part of Herkimer County Vote Results]:[Part of Oneida County Vote Results]])</f>
        <v>18241</v>
      </c>
      <c r="E4" s="13">
        <f>SUM(D4,D5,D10)</f>
        <v>20409</v>
      </c>
    </row>
    <row r="5" spans="1:5" x14ac:dyDescent="0.2">
      <c r="A5" s="2" t="s">
        <v>15</v>
      </c>
      <c r="B5" s="3">
        <v>159</v>
      </c>
      <c r="C5" s="3">
        <v>1760</v>
      </c>
      <c r="D5" s="12">
        <f>SUM(GovByAssemblyDistrict119General[[#This Row],[Part of Herkimer County Vote Results]:[Part of Oneida County Vote Results]])</f>
        <v>1919</v>
      </c>
      <c r="E5" s="14"/>
    </row>
    <row r="6" spans="1:5" x14ac:dyDescent="0.2">
      <c r="A6" s="2" t="s">
        <v>6</v>
      </c>
      <c r="B6" s="3">
        <v>36</v>
      </c>
      <c r="C6" s="3">
        <v>448</v>
      </c>
      <c r="D6" s="12">
        <f>SUM(GovByAssemblyDistrict119General[[#This Row],[Part of Herkimer County Vote Results]:[Part of Oneida County Vote Results]])</f>
        <v>484</v>
      </c>
      <c r="E6" s="13">
        <f>GovByAssemblyDistrict119General[[#This Row],[Total Votes by Party]]</f>
        <v>484</v>
      </c>
    </row>
    <row r="7" spans="1:5" x14ac:dyDescent="0.2">
      <c r="A7" s="2" t="s">
        <v>7</v>
      </c>
      <c r="B7" s="3">
        <v>16</v>
      </c>
      <c r="C7" s="3">
        <v>330</v>
      </c>
      <c r="D7" s="12">
        <f>SUM(GovByAssemblyDistrict119General[[#This Row],[Part of Herkimer County Vote Results]:[Part of Oneida County Vote Results]])</f>
        <v>346</v>
      </c>
      <c r="E7" s="14"/>
    </row>
    <row r="8" spans="1:5" x14ac:dyDescent="0.2">
      <c r="A8" s="2" t="s">
        <v>8</v>
      </c>
      <c r="B8" s="3">
        <v>34</v>
      </c>
      <c r="C8" s="3">
        <v>542</v>
      </c>
      <c r="D8" s="12">
        <f>SUM(GovByAssemblyDistrict119General[[#This Row],[Part of Herkimer County Vote Results]:[Part of Oneida County Vote Results]])</f>
        <v>576</v>
      </c>
      <c r="E8" s="14"/>
    </row>
    <row r="9" spans="1:5" x14ac:dyDescent="0.2">
      <c r="A9" s="2" t="s">
        <v>9</v>
      </c>
      <c r="B9" s="3">
        <v>7</v>
      </c>
      <c r="C9" s="3">
        <v>151</v>
      </c>
      <c r="D9" s="12">
        <f>SUM(GovByAssemblyDistrict119General[[#This Row],[Part of Herkimer County Vote Results]:[Part of Oneida County Vote Results]])</f>
        <v>158</v>
      </c>
      <c r="E9" s="14"/>
    </row>
    <row r="10" spans="1:5" x14ac:dyDescent="0.2">
      <c r="A10" s="2" t="s">
        <v>16</v>
      </c>
      <c r="B10" s="3">
        <v>22</v>
      </c>
      <c r="C10" s="3">
        <v>227</v>
      </c>
      <c r="D10" s="12">
        <f>SUM(GovByAssemblyDistrict119General[[#This Row],[Part of Herkimer County Vote Results]:[Part of Oneida County Vote Results]])</f>
        <v>249</v>
      </c>
      <c r="E10" s="14"/>
    </row>
    <row r="11" spans="1:5" x14ac:dyDescent="0.2">
      <c r="A11" s="2" t="s">
        <v>10</v>
      </c>
      <c r="B11" s="3">
        <v>102</v>
      </c>
      <c r="C11" s="3">
        <v>1384</v>
      </c>
      <c r="D11" s="12">
        <f>SUM(GovByAssemblyDistrict119General[[#This Row],[Part of Herkimer County Vote Results]:[Part of Oneida County Vote Results]])</f>
        <v>1486</v>
      </c>
      <c r="E11" s="13">
        <f>GovByAssemblyDistrict119General[[#This Row],[Total Votes by Party]]</f>
        <v>1486</v>
      </c>
    </row>
    <row r="12" spans="1:5" x14ac:dyDescent="0.2">
      <c r="A12" s="4" t="s">
        <v>11</v>
      </c>
      <c r="B12" s="3">
        <v>33</v>
      </c>
      <c r="C12" s="3">
        <v>604</v>
      </c>
      <c r="D12" s="12">
        <f>SUM(GovByAssemblyDistrict119General[[#This Row],[Part of Herkimer County Vote Results]:[Part of Oneida County Vote Results]])</f>
        <v>637</v>
      </c>
      <c r="E12" s="13">
        <f>GovByAssemblyDistrict119General[[#This Row],[Total Votes by Party]]</f>
        <v>637</v>
      </c>
    </row>
    <row r="13" spans="1:5" x14ac:dyDescent="0.2">
      <c r="A13" s="4" t="s">
        <v>0</v>
      </c>
      <c r="B13" s="3">
        <v>135</v>
      </c>
      <c r="C13" s="3">
        <v>1235</v>
      </c>
      <c r="D13" s="12">
        <f>SUM(GovByAssemblyDistrict119General[[#This Row],[Part of Herkimer County Vote Results]:[Part of Oneida County Vote Results]])</f>
        <v>1370</v>
      </c>
      <c r="E13" s="14"/>
    </row>
    <row r="14" spans="1:5" x14ac:dyDescent="0.2">
      <c r="A14" s="4" t="s">
        <v>1</v>
      </c>
      <c r="B14" s="3">
        <v>0</v>
      </c>
      <c r="C14" s="3">
        <v>0</v>
      </c>
      <c r="D14" s="12">
        <f>SUM(GovByAssemblyDistrict119General[[#This Row],[Part of Herkimer County Vote Results]:[Part of Oneida County Vote Results]])</f>
        <v>0</v>
      </c>
      <c r="E14" s="14"/>
    </row>
    <row r="15" spans="1:5" x14ac:dyDescent="0.2">
      <c r="A15" s="4" t="s">
        <v>2</v>
      </c>
      <c r="B15" s="5">
        <v>2</v>
      </c>
      <c r="C15" s="5">
        <v>13</v>
      </c>
      <c r="D15" s="12">
        <f>SUM(GovByAssemblyDistrict119General[[#This Row],[Part of Herkimer County Vote Results]:[Part of Oneida County Vote Results]])</f>
        <v>15</v>
      </c>
      <c r="E15" s="14"/>
    </row>
    <row r="16" spans="1:5" hidden="1" x14ac:dyDescent="0.2">
      <c r="A16" s="4" t="s">
        <v>4</v>
      </c>
      <c r="B16" s="6">
        <f>SUBTOTAL(109,GovByAssemblyDistrict119General[Part of Herkimer County Vote Results])</f>
        <v>2928</v>
      </c>
      <c r="C16" s="6">
        <f>SUBTOTAL(109,GovByAssemblyDistrict119General[Part of Oneida County Vote Results])</f>
        <v>37051</v>
      </c>
      <c r="D16" s="6"/>
      <c r="E16" s="9"/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C2578-9063-41A7-AEC4-4F9231940FCC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29</v>
      </c>
    </row>
    <row r="2" spans="1:4" ht="24.95" customHeight="1" x14ac:dyDescent="0.2">
      <c r="A2" s="7" t="s">
        <v>12</v>
      </c>
      <c r="B2" s="8" t="s">
        <v>13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24504</v>
      </c>
      <c r="C3" s="12">
        <f>GovByAssemblyDistrict12General[[#This Row],[Part of Suffolk County Vote Results]]</f>
        <v>24504</v>
      </c>
      <c r="D3" s="13">
        <f>SUM(C3,C7,C8,C9)</f>
        <v>25956</v>
      </c>
    </row>
    <row r="4" spans="1:4" x14ac:dyDescent="0.2">
      <c r="A4" s="2" t="s">
        <v>14</v>
      </c>
      <c r="B4" s="3">
        <v>21403</v>
      </c>
      <c r="C4" s="12">
        <f>GovByAssemblyDistrict12General[[#This Row],[Part of Suffolk County Vote Results]]</f>
        <v>21403</v>
      </c>
      <c r="D4" s="13">
        <f>SUM(C4,C5,C10)</f>
        <v>24253</v>
      </c>
    </row>
    <row r="5" spans="1:4" x14ac:dyDescent="0.2">
      <c r="A5" s="2" t="s">
        <v>15</v>
      </c>
      <c r="B5" s="3">
        <v>2655</v>
      </c>
      <c r="C5" s="12">
        <f>GovByAssemblyDistrict12General[[#This Row],[Part of Suffolk County Vote Results]]</f>
        <v>2655</v>
      </c>
      <c r="D5" s="14"/>
    </row>
    <row r="6" spans="1:4" x14ac:dyDescent="0.2">
      <c r="A6" s="2" t="s">
        <v>6</v>
      </c>
      <c r="B6" s="3">
        <v>480</v>
      </c>
      <c r="C6" s="12">
        <f>GovByAssemblyDistrict12General[[#This Row],[Part of Suffolk County Vote Results]]</f>
        <v>480</v>
      </c>
      <c r="D6" s="13">
        <f>GovByAssemblyDistrict12General[[#This Row],[Total Votes by Party]]</f>
        <v>480</v>
      </c>
    </row>
    <row r="7" spans="1:4" x14ac:dyDescent="0.2">
      <c r="A7" s="2" t="s">
        <v>7</v>
      </c>
      <c r="B7" s="3">
        <v>486</v>
      </c>
      <c r="C7" s="12">
        <f>GovByAssemblyDistrict12General[[#This Row],[Part of Suffolk County Vote Results]]</f>
        <v>486</v>
      </c>
      <c r="D7" s="14"/>
    </row>
    <row r="8" spans="1:4" x14ac:dyDescent="0.2">
      <c r="A8" s="2" t="s">
        <v>8</v>
      </c>
      <c r="B8" s="3">
        <v>649</v>
      </c>
      <c r="C8" s="12">
        <f>GovByAssemblyDistrict12General[[#This Row],[Part of Suffolk County Vote Results]]</f>
        <v>649</v>
      </c>
      <c r="D8" s="14"/>
    </row>
    <row r="9" spans="1:4" x14ac:dyDescent="0.2">
      <c r="A9" s="2" t="s">
        <v>9</v>
      </c>
      <c r="B9" s="3">
        <v>317</v>
      </c>
      <c r="C9" s="12">
        <f>GovByAssemblyDistrict12General[[#This Row],[Part of Suffolk County Vote Results]]</f>
        <v>317</v>
      </c>
      <c r="D9" s="14"/>
    </row>
    <row r="10" spans="1:4" x14ac:dyDescent="0.2">
      <c r="A10" s="2" t="s">
        <v>16</v>
      </c>
      <c r="B10" s="3">
        <v>195</v>
      </c>
      <c r="C10" s="12">
        <f>GovByAssemblyDistrict12General[[#This Row],[Part of Suffolk County Vote Results]]</f>
        <v>195</v>
      </c>
      <c r="D10" s="14"/>
    </row>
    <row r="11" spans="1:4" x14ac:dyDescent="0.2">
      <c r="A11" s="2" t="s">
        <v>10</v>
      </c>
      <c r="B11" s="3">
        <v>347</v>
      </c>
      <c r="C11" s="12">
        <f>GovByAssemblyDistrict12General[[#This Row],[Part of Suffolk County Vote Results]]</f>
        <v>347</v>
      </c>
      <c r="D11" s="13">
        <f>GovByAssemblyDistrict12General[[#This Row],[Total Votes by Party]]</f>
        <v>347</v>
      </c>
    </row>
    <row r="12" spans="1:4" x14ac:dyDescent="0.2">
      <c r="A12" s="4" t="s">
        <v>11</v>
      </c>
      <c r="B12" s="5">
        <v>277</v>
      </c>
      <c r="C12" s="12">
        <f>GovByAssemblyDistrict12General[[#This Row],[Part of Suffolk County Vote Results]]</f>
        <v>277</v>
      </c>
      <c r="D12" s="13">
        <f>GovByAssemblyDistrict12General[[#This Row],[Total Votes by Party]]</f>
        <v>277</v>
      </c>
    </row>
    <row r="13" spans="1:4" x14ac:dyDescent="0.2">
      <c r="A13" s="4" t="s">
        <v>0</v>
      </c>
      <c r="B13" s="5">
        <v>593</v>
      </c>
      <c r="C13" s="12">
        <f>GovByAssemblyDistrict12General[[#This Row],[Part of Suffolk County Vote Results]]</f>
        <v>593</v>
      </c>
      <c r="D13" s="14"/>
    </row>
    <row r="14" spans="1:4" x14ac:dyDescent="0.2">
      <c r="A14" s="4" t="s">
        <v>1</v>
      </c>
      <c r="B14" s="5">
        <v>29</v>
      </c>
      <c r="C14" s="12">
        <f>GovByAssemblyDistrict12General[[#This Row],[Part of Suffolk County Vote Results]]</f>
        <v>29</v>
      </c>
      <c r="D14" s="14"/>
    </row>
    <row r="15" spans="1:4" x14ac:dyDescent="0.2">
      <c r="A15" s="4" t="s">
        <v>2</v>
      </c>
      <c r="B15" s="5">
        <v>20</v>
      </c>
      <c r="C15" s="12">
        <f>GovByAssemblyDistrict12General[[#This Row],[Part of Suffolk County Vote Results]]</f>
        <v>20</v>
      </c>
      <c r="D15" s="14"/>
    </row>
    <row r="16" spans="1:4" hidden="1" x14ac:dyDescent="0.2">
      <c r="A16" s="4" t="s">
        <v>4</v>
      </c>
      <c r="B16" s="6">
        <f>SUBTOTAL(109,GovByAssemblyDistrict12General[Total Votes by Candidate])</f>
        <v>51313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063AB-FDB6-45FB-AB43-74FE91A0A6D9}">
  <dimension ref="A1:F16"/>
  <sheetViews>
    <sheetView workbookViewId="0">
      <selection activeCell="C18" sqref="C18"/>
    </sheetView>
  </sheetViews>
  <sheetFormatPr defaultRowHeight="12.75" x14ac:dyDescent="0.2"/>
  <cols>
    <col min="1" max="1" width="25.5703125" customWidth="1"/>
    <col min="2" max="6" width="20.5703125" customWidth="1"/>
    <col min="7" max="8" width="23.5703125" customWidth="1"/>
  </cols>
  <sheetData>
    <row r="1" spans="1:6" ht="24.75" customHeight="1" x14ac:dyDescent="0.2">
      <c r="A1" s="1" t="s">
        <v>171</v>
      </c>
    </row>
    <row r="2" spans="1:6" ht="25.5" x14ac:dyDescent="0.2">
      <c r="A2" s="7" t="s">
        <v>12</v>
      </c>
      <c r="B2" s="8" t="s">
        <v>164</v>
      </c>
      <c r="C2" s="8" t="s">
        <v>172</v>
      </c>
      <c r="D2" s="8" t="s">
        <v>173</v>
      </c>
      <c r="E2" s="10" t="s">
        <v>228</v>
      </c>
      <c r="F2" s="11" t="s">
        <v>5</v>
      </c>
    </row>
    <row r="3" spans="1:6" x14ac:dyDescent="0.2">
      <c r="A3" s="2" t="s">
        <v>3</v>
      </c>
      <c r="B3" s="3">
        <v>244</v>
      </c>
      <c r="C3" s="3">
        <v>3913</v>
      </c>
      <c r="D3" s="3">
        <v>9587</v>
      </c>
      <c r="E3" s="12">
        <f>SUM(GovByAssemblyDistrict120General[[#This Row],[Part of Jefferson County Vote Results]:[Part of Oswego County Vote Results]])</f>
        <v>13744</v>
      </c>
      <c r="F3" s="13">
        <f>SUM(E3,E7,E8,E9)</f>
        <v>14830</v>
      </c>
    </row>
    <row r="4" spans="1:6" x14ac:dyDescent="0.2">
      <c r="A4" s="2" t="s">
        <v>14</v>
      </c>
      <c r="B4" s="3">
        <v>731</v>
      </c>
      <c r="C4" s="3">
        <v>4682</v>
      </c>
      <c r="D4" s="3">
        <v>18233</v>
      </c>
      <c r="E4" s="12">
        <f>SUM(GovByAssemblyDistrict120General[[#This Row],[Part of Jefferson County Vote Results]:[Part of Oswego County Vote Results]])</f>
        <v>23646</v>
      </c>
      <c r="F4" s="13">
        <f>SUM(E4,E5,E10)</f>
        <v>27067</v>
      </c>
    </row>
    <row r="5" spans="1:6" x14ac:dyDescent="0.2">
      <c r="A5" s="2" t="s">
        <v>15</v>
      </c>
      <c r="B5" s="3">
        <v>58</v>
      </c>
      <c r="C5" s="3">
        <v>765</v>
      </c>
      <c r="D5" s="3">
        <v>2297</v>
      </c>
      <c r="E5" s="12">
        <f>SUM(GovByAssemblyDistrict120General[[#This Row],[Part of Jefferson County Vote Results]:[Part of Oswego County Vote Results]])</f>
        <v>3120</v>
      </c>
      <c r="F5" s="14"/>
    </row>
    <row r="6" spans="1:6" x14ac:dyDescent="0.2">
      <c r="A6" s="2" t="s">
        <v>6</v>
      </c>
      <c r="B6" s="3">
        <v>16</v>
      </c>
      <c r="C6" s="3">
        <v>207</v>
      </c>
      <c r="D6" s="3">
        <v>589</v>
      </c>
      <c r="E6" s="12">
        <f>SUM(GovByAssemblyDistrict120General[[#This Row],[Part of Jefferson County Vote Results]:[Part of Oswego County Vote Results]])</f>
        <v>812</v>
      </c>
      <c r="F6" s="13">
        <f>GovByAssemblyDistrict120General[[#This Row],[Total Votes by Party]]</f>
        <v>812</v>
      </c>
    </row>
    <row r="7" spans="1:6" x14ac:dyDescent="0.2">
      <c r="A7" s="2" t="s">
        <v>7</v>
      </c>
      <c r="B7" s="3">
        <v>9</v>
      </c>
      <c r="C7" s="3">
        <v>101</v>
      </c>
      <c r="D7" s="3">
        <v>232</v>
      </c>
      <c r="E7" s="12">
        <f>SUM(GovByAssemblyDistrict120General[[#This Row],[Part of Jefferson County Vote Results]:[Part of Oswego County Vote Results]])</f>
        <v>342</v>
      </c>
      <c r="F7" s="14"/>
    </row>
    <row r="8" spans="1:6" x14ac:dyDescent="0.2">
      <c r="A8" s="2" t="s">
        <v>8</v>
      </c>
      <c r="B8" s="3">
        <v>8</v>
      </c>
      <c r="C8" s="3">
        <v>164</v>
      </c>
      <c r="D8" s="3">
        <v>391</v>
      </c>
      <c r="E8" s="12">
        <f>SUM(GovByAssemblyDistrict120General[[#This Row],[Part of Jefferson County Vote Results]:[Part of Oswego County Vote Results]])</f>
        <v>563</v>
      </c>
      <c r="F8" s="14"/>
    </row>
    <row r="9" spans="1:6" x14ac:dyDescent="0.2">
      <c r="A9" s="2" t="s">
        <v>9</v>
      </c>
      <c r="B9" s="3">
        <v>4</v>
      </c>
      <c r="C9" s="3">
        <v>40</v>
      </c>
      <c r="D9" s="3">
        <v>137</v>
      </c>
      <c r="E9" s="12">
        <f>SUM(GovByAssemblyDistrict120General[[#This Row],[Part of Jefferson County Vote Results]:[Part of Oswego County Vote Results]])</f>
        <v>181</v>
      </c>
      <c r="F9" s="14"/>
    </row>
    <row r="10" spans="1:6" x14ac:dyDescent="0.2">
      <c r="A10" s="2" t="s">
        <v>16</v>
      </c>
      <c r="B10" s="3">
        <v>5</v>
      </c>
      <c r="C10" s="3">
        <v>70</v>
      </c>
      <c r="D10" s="3">
        <v>226</v>
      </c>
      <c r="E10" s="12">
        <f>SUM(GovByAssemblyDistrict120General[[#This Row],[Part of Jefferson County Vote Results]:[Part of Oswego County Vote Results]])</f>
        <v>301</v>
      </c>
      <c r="F10" s="14"/>
    </row>
    <row r="11" spans="1:6" x14ac:dyDescent="0.2">
      <c r="A11" s="2" t="s">
        <v>10</v>
      </c>
      <c r="B11" s="3">
        <v>40</v>
      </c>
      <c r="C11" s="3">
        <v>250</v>
      </c>
      <c r="D11" s="3">
        <v>1619</v>
      </c>
      <c r="E11" s="12">
        <f>SUM(GovByAssemblyDistrict120General[[#This Row],[Part of Jefferson County Vote Results]:[Part of Oswego County Vote Results]])</f>
        <v>1909</v>
      </c>
      <c r="F11" s="13">
        <f>GovByAssemblyDistrict120General[[#This Row],[Total Votes by Party]]</f>
        <v>1909</v>
      </c>
    </row>
    <row r="12" spans="1:6" x14ac:dyDescent="0.2">
      <c r="A12" s="4" t="s">
        <v>11</v>
      </c>
      <c r="B12" s="3">
        <v>19</v>
      </c>
      <c r="C12" s="3">
        <v>336</v>
      </c>
      <c r="D12" s="3">
        <v>1140</v>
      </c>
      <c r="E12" s="12">
        <f>SUM(GovByAssemblyDistrict120General[[#This Row],[Part of Jefferson County Vote Results]:[Part of Oswego County Vote Results]])</f>
        <v>1495</v>
      </c>
      <c r="F12" s="13">
        <f>GovByAssemblyDistrict120General[[#This Row],[Total Votes by Party]]</f>
        <v>1495</v>
      </c>
    </row>
    <row r="13" spans="1:6" x14ac:dyDescent="0.2">
      <c r="A13" s="4" t="s">
        <v>0</v>
      </c>
      <c r="B13" s="3">
        <v>14</v>
      </c>
      <c r="C13" s="3">
        <v>236</v>
      </c>
      <c r="D13" s="3">
        <v>1027</v>
      </c>
      <c r="E13" s="12">
        <f>SUM(GovByAssemblyDistrict120General[[#This Row],[Part of Jefferson County Vote Results]:[Part of Oswego County Vote Results]])</f>
        <v>1277</v>
      </c>
      <c r="F13" s="14"/>
    </row>
    <row r="14" spans="1:6" x14ac:dyDescent="0.2">
      <c r="A14" s="4" t="s">
        <v>1</v>
      </c>
      <c r="B14" s="3">
        <v>0</v>
      </c>
      <c r="C14" s="3">
        <v>0</v>
      </c>
      <c r="D14" s="3">
        <v>57</v>
      </c>
      <c r="E14" s="12">
        <f>SUM(GovByAssemblyDistrict120General[[#This Row],[Part of Jefferson County Vote Results]:[Part of Oswego County Vote Results]])</f>
        <v>57</v>
      </c>
      <c r="F14" s="14"/>
    </row>
    <row r="15" spans="1:6" x14ac:dyDescent="0.2">
      <c r="A15" s="4" t="s">
        <v>2</v>
      </c>
      <c r="B15" s="5">
        <v>0</v>
      </c>
      <c r="C15" s="5">
        <v>6</v>
      </c>
      <c r="D15" s="5">
        <v>10</v>
      </c>
      <c r="E15" s="12">
        <f>SUM(GovByAssemblyDistrict120General[[#This Row],[Part of Jefferson County Vote Results]:[Part of Oswego County Vote Results]])</f>
        <v>16</v>
      </c>
      <c r="F15" s="14"/>
    </row>
    <row r="16" spans="1:6" hidden="1" x14ac:dyDescent="0.2">
      <c r="A16" s="4" t="s">
        <v>4</v>
      </c>
      <c r="B16" s="6">
        <f>SUBTOTAL(109,GovByAssemblyDistrict120General[Part of Jefferson County Vote Results])</f>
        <v>1148</v>
      </c>
      <c r="C16" s="6"/>
      <c r="D16" s="6">
        <f>SUBTOTAL(109,GovByAssemblyDistrict120General[Part of Oswego County Vote Results])</f>
        <v>35545</v>
      </c>
      <c r="E16" s="6"/>
      <c r="F16" s="9"/>
    </row>
  </sheetData>
  <pageMargins left="0.7" right="0.7" top="0.75" bottom="0.75" header="0.3" footer="0.3"/>
  <tableParts count="1">
    <tablePart r:id="rId1"/>
  </tableParts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B2029-1E4C-4ACD-AEE1-AE52FBF38F0A}">
  <dimension ref="A1:F16"/>
  <sheetViews>
    <sheetView workbookViewId="0">
      <selection activeCell="C18" sqref="C18"/>
    </sheetView>
  </sheetViews>
  <sheetFormatPr defaultRowHeight="12.75" x14ac:dyDescent="0.2"/>
  <cols>
    <col min="1" max="1" width="25.5703125" customWidth="1"/>
    <col min="2" max="6" width="20.5703125" customWidth="1"/>
    <col min="7" max="8" width="23.5703125" customWidth="1"/>
  </cols>
  <sheetData>
    <row r="1" spans="1:6" ht="24.75" customHeight="1" x14ac:dyDescent="0.2">
      <c r="A1" s="1" t="s">
        <v>174</v>
      </c>
    </row>
    <row r="2" spans="1:6" ht="25.5" x14ac:dyDescent="0.2">
      <c r="A2" s="7" t="s">
        <v>12</v>
      </c>
      <c r="B2" s="8" t="s">
        <v>175</v>
      </c>
      <c r="C2" s="8" t="s">
        <v>131</v>
      </c>
      <c r="D2" s="8" t="s">
        <v>132</v>
      </c>
      <c r="E2" s="10" t="s">
        <v>228</v>
      </c>
      <c r="F2" s="11" t="s">
        <v>5</v>
      </c>
    </row>
    <row r="3" spans="1:6" x14ac:dyDescent="0.2">
      <c r="A3" s="2" t="s">
        <v>3</v>
      </c>
      <c r="B3" s="3">
        <v>8323</v>
      </c>
      <c r="C3" s="3">
        <v>1525</v>
      </c>
      <c r="D3" s="3">
        <v>5415</v>
      </c>
      <c r="E3" s="12">
        <f>SUM(GovByAssemblyDistrict121General[[#This Row],[Madison County Vote Results]:[Part of Otsego County Vote Results]])</f>
        <v>15263</v>
      </c>
      <c r="F3" s="13">
        <f>SUM(E3,E7,E8,E9)</f>
        <v>16499</v>
      </c>
    </row>
    <row r="4" spans="1:6" x14ac:dyDescent="0.2">
      <c r="A4" s="2" t="s">
        <v>14</v>
      </c>
      <c r="B4" s="3">
        <v>12538</v>
      </c>
      <c r="C4" s="3">
        <v>3423</v>
      </c>
      <c r="D4" s="3">
        <v>6689</v>
      </c>
      <c r="E4" s="12">
        <f>SUM(GovByAssemblyDistrict121General[[#This Row],[Madison County Vote Results]:[Part of Otsego County Vote Results]])</f>
        <v>22650</v>
      </c>
      <c r="F4" s="13">
        <f>SUM(E4,E5,E10)</f>
        <v>25933</v>
      </c>
    </row>
    <row r="5" spans="1:6" x14ac:dyDescent="0.2">
      <c r="A5" s="2" t="s">
        <v>15</v>
      </c>
      <c r="B5" s="3">
        <v>1875</v>
      </c>
      <c r="C5" s="3">
        <v>422</v>
      </c>
      <c r="D5" s="3">
        <v>643</v>
      </c>
      <c r="E5" s="12">
        <f>SUM(GovByAssemblyDistrict121General[[#This Row],[Madison County Vote Results]:[Part of Otsego County Vote Results]])</f>
        <v>2940</v>
      </c>
      <c r="F5" s="14"/>
    </row>
    <row r="6" spans="1:6" x14ac:dyDescent="0.2">
      <c r="A6" s="2" t="s">
        <v>6</v>
      </c>
      <c r="B6" s="3">
        <v>510</v>
      </c>
      <c r="C6" s="3">
        <v>105</v>
      </c>
      <c r="D6" s="3">
        <v>290</v>
      </c>
      <c r="E6" s="12">
        <f>SUM(GovByAssemblyDistrict121General[[#This Row],[Madison County Vote Results]:[Part of Otsego County Vote Results]])</f>
        <v>905</v>
      </c>
      <c r="F6" s="13">
        <f>GovByAssemblyDistrict121General[[#This Row],[Total Votes by Party]]</f>
        <v>905</v>
      </c>
    </row>
    <row r="7" spans="1:6" x14ac:dyDescent="0.2">
      <c r="A7" s="2" t="s">
        <v>7</v>
      </c>
      <c r="B7" s="3">
        <v>232</v>
      </c>
      <c r="C7" s="3">
        <v>39</v>
      </c>
      <c r="D7" s="3">
        <v>137</v>
      </c>
      <c r="E7" s="12">
        <f>SUM(GovByAssemblyDistrict121General[[#This Row],[Madison County Vote Results]:[Part of Otsego County Vote Results]])</f>
        <v>408</v>
      </c>
      <c r="F7" s="14"/>
    </row>
    <row r="8" spans="1:6" x14ac:dyDescent="0.2">
      <c r="A8" s="2" t="s">
        <v>8</v>
      </c>
      <c r="B8" s="3">
        <v>324</v>
      </c>
      <c r="C8" s="3">
        <v>88</v>
      </c>
      <c r="D8" s="3">
        <v>173</v>
      </c>
      <c r="E8" s="12">
        <f>SUM(GovByAssemblyDistrict121General[[#This Row],[Madison County Vote Results]:[Part of Otsego County Vote Results]])</f>
        <v>585</v>
      </c>
      <c r="F8" s="14"/>
    </row>
    <row r="9" spans="1:6" x14ac:dyDescent="0.2">
      <c r="A9" s="2" t="s">
        <v>9</v>
      </c>
      <c r="B9" s="3">
        <v>127</v>
      </c>
      <c r="C9" s="3">
        <v>13</v>
      </c>
      <c r="D9" s="3">
        <v>103</v>
      </c>
      <c r="E9" s="12">
        <f>SUM(GovByAssemblyDistrict121General[[#This Row],[Madison County Vote Results]:[Part of Otsego County Vote Results]])</f>
        <v>243</v>
      </c>
      <c r="F9" s="14"/>
    </row>
    <row r="10" spans="1:6" x14ac:dyDescent="0.2">
      <c r="A10" s="2" t="s">
        <v>16</v>
      </c>
      <c r="B10" s="3">
        <v>203</v>
      </c>
      <c r="C10" s="3">
        <v>40</v>
      </c>
      <c r="D10" s="3">
        <v>100</v>
      </c>
      <c r="E10" s="12">
        <f>SUM(GovByAssemblyDistrict121General[[#This Row],[Madison County Vote Results]:[Part of Otsego County Vote Results]])</f>
        <v>343</v>
      </c>
      <c r="F10" s="14"/>
    </row>
    <row r="11" spans="1:6" x14ac:dyDescent="0.2">
      <c r="A11" s="2" t="s">
        <v>10</v>
      </c>
      <c r="B11" s="3">
        <v>961</v>
      </c>
      <c r="C11" s="3">
        <v>261</v>
      </c>
      <c r="D11" s="3">
        <v>477</v>
      </c>
      <c r="E11" s="12">
        <f>SUM(GovByAssemblyDistrict121General[[#This Row],[Madison County Vote Results]:[Part of Otsego County Vote Results]])</f>
        <v>1699</v>
      </c>
      <c r="F11" s="13">
        <f>GovByAssemblyDistrict121General[[#This Row],[Total Votes by Party]]</f>
        <v>1699</v>
      </c>
    </row>
    <row r="12" spans="1:6" x14ac:dyDescent="0.2">
      <c r="A12" s="4" t="s">
        <v>11</v>
      </c>
      <c r="B12" s="3">
        <v>802</v>
      </c>
      <c r="C12" s="3">
        <v>161</v>
      </c>
      <c r="D12" s="3">
        <v>215</v>
      </c>
      <c r="E12" s="12">
        <f>SUM(GovByAssemblyDistrict121General[[#This Row],[Madison County Vote Results]:[Part of Otsego County Vote Results]])</f>
        <v>1178</v>
      </c>
      <c r="F12" s="13">
        <f>GovByAssemblyDistrict121General[[#This Row],[Total Votes by Party]]</f>
        <v>1178</v>
      </c>
    </row>
    <row r="13" spans="1:6" x14ac:dyDescent="0.2">
      <c r="A13" s="4" t="s">
        <v>0</v>
      </c>
      <c r="B13" s="3">
        <v>517</v>
      </c>
      <c r="C13" s="3">
        <v>161</v>
      </c>
      <c r="D13" s="3">
        <v>693</v>
      </c>
      <c r="E13" s="12">
        <f>SUM(GovByAssemblyDistrict121General[[#This Row],[Madison County Vote Results]:[Part of Otsego County Vote Results]])</f>
        <v>1371</v>
      </c>
      <c r="F13" s="14"/>
    </row>
    <row r="14" spans="1:6" x14ac:dyDescent="0.2">
      <c r="A14" s="4" t="s">
        <v>1</v>
      </c>
      <c r="B14" s="3">
        <v>17</v>
      </c>
      <c r="C14" s="3">
        <v>0</v>
      </c>
      <c r="D14" s="3">
        <v>38</v>
      </c>
      <c r="E14" s="12">
        <f>SUM(GovByAssemblyDistrict121General[[#This Row],[Madison County Vote Results]:[Part of Otsego County Vote Results]])</f>
        <v>55</v>
      </c>
      <c r="F14" s="14"/>
    </row>
    <row r="15" spans="1:6" x14ac:dyDescent="0.2">
      <c r="A15" s="4" t="s">
        <v>2</v>
      </c>
      <c r="B15" s="5">
        <v>13</v>
      </c>
      <c r="C15" s="5">
        <v>2</v>
      </c>
      <c r="D15" s="5">
        <v>15</v>
      </c>
      <c r="E15" s="12">
        <f>SUM(GovByAssemblyDistrict121General[[#This Row],[Madison County Vote Results]:[Part of Otsego County Vote Results]])</f>
        <v>30</v>
      </c>
      <c r="F15" s="14"/>
    </row>
    <row r="16" spans="1:6" hidden="1" x14ac:dyDescent="0.2">
      <c r="A16" s="4" t="s">
        <v>4</v>
      </c>
      <c r="B16" s="6">
        <f>SUBTOTAL(109,GovByAssemblyDistrict121General[Madison County Vote Results])</f>
        <v>26442</v>
      </c>
      <c r="C16" s="6"/>
      <c r="D16" s="6">
        <f>SUBTOTAL(109,GovByAssemblyDistrict121General[Part of Otsego County Vote Results])</f>
        <v>14988</v>
      </c>
      <c r="E16" s="6"/>
      <c r="F16" s="9"/>
    </row>
  </sheetData>
  <pageMargins left="0.7" right="0.7" top="0.75" bottom="0.75" header="0.3" footer="0.3"/>
  <tableParts count="1">
    <tablePart r:id="rId1"/>
  </tableParts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12A2B-6977-4ABC-BECA-0CEE28E1AFDF}">
  <dimension ref="A1:G16"/>
  <sheetViews>
    <sheetView workbookViewId="0">
      <selection activeCell="C15" sqref="C15"/>
    </sheetView>
  </sheetViews>
  <sheetFormatPr defaultRowHeight="12.75" x14ac:dyDescent="0.2"/>
  <cols>
    <col min="1" max="1" width="25.5703125" customWidth="1"/>
    <col min="2" max="7" width="20.5703125" customWidth="1"/>
    <col min="8" max="9" width="23.5703125" customWidth="1"/>
  </cols>
  <sheetData>
    <row r="1" spans="1:7" ht="24.75" customHeight="1" x14ac:dyDescent="0.2">
      <c r="A1" s="1" t="s">
        <v>176</v>
      </c>
    </row>
    <row r="2" spans="1:7" ht="25.5" x14ac:dyDescent="0.2">
      <c r="A2" s="7" t="s">
        <v>12</v>
      </c>
      <c r="B2" s="8" t="s">
        <v>177</v>
      </c>
      <c r="C2" s="8" t="s">
        <v>178</v>
      </c>
      <c r="D2" s="8" t="s">
        <v>129</v>
      </c>
      <c r="E2" s="8" t="s">
        <v>132</v>
      </c>
      <c r="F2" s="10" t="s">
        <v>228</v>
      </c>
      <c r="G2" s="11" t="s">
        <v>5</v>
      </c>
    </row>
    <row r="3" spans="1:7" x14ac:dyDescent="0.2">
      <c r="A3" s="2" t="s">
        <v>3</v>
      </c>
      <c r="B3" s="3">
        <v>7267</v>
      </c>
      <c r="C3" s="3">
        <v>3761</v>
      </c>
      <c r="D3" s="3">
        <v>2199</v>
      </c>
      <c r="E3" s="3">
        <v>837</v>
      </c>
      <c r="F3" s="12">
        <f>SUM(GovByAssemblyDistrict122General[[#This Row],[Part of Broome County Vote Results]:[Part of Otsego County Vote Results]])</f>
        <v>14064</v>
      </c>
      <c r="G3" s="13">
        <f>SUM(F3,F7,F8,F9)</f>
        <v>15164</v>
      </c>
    </row>
    <row r="4" spans="1:7" x14ac:dyDescent="0.2">
      <c r="A4" s="2" t="s">
        <v>14</v>
      </c>
      <c r="B4" s="3">
        <v>13712</v>
      </c>
      <c r="C4" s="3">
        <v>7172</v>
      </c>
      <c r="D4" s="3">
        <v>4585</v>
      </c>
      <c r="E4" s="3">
        <v>1445</v>
      </c>
      <c r="F4" s="12">
        <f>SUM(GovByAssemblyDistrict122General[[#This Row],[Part of Broome County Vote Results]:[Part of Otsego County Vote Results]])</f>
        <v>26914</v>
      </c>
      <c r="G4" s="13">
        <f>SUM(F4,F5,F10)</f>
        <v>29405</v>
      </c>
    </row>
    <row r="5" spans="1:7" x14ac:dyDescent="0.2">
      <c r="A5" s="2" t="s">
        <v>15</v>
      </c>
      <c r="B5" s="3">
        <v>1210</v>
      </c>
      <c r="C5" s="3">
        <v>552</v>
      </c>
      <c r="D5" s="3">
        <v>296</v>
      </c>
      <c r="E5" s="3">
        <v>115</v>
      </c>
      <c r="F5" s="12">
        <f>SUM(GovByAssemblyDistrict122General[[#This Row],[Part of Broome County Vote Results]:[Part of Otsego County Vote Results]])</f>
        <v>2173</v>
      </c>
      <c r="G5" s="14"/>
    </row>
    <row r="6" spans="1:7" x14ac:dyDescent="0.2">
      <c r="A6" s="2" t="s">
        <v>6</v>
      </c>
      <c r="B6" s="3">
        <v>347</v>
      </c>
      <c r="C6" s="3">
        <v>210</v>
      </c>
      <c r="D6" s="3">
        <v>123</v>
      </c>
      <c r="E6" s="3">
        <v>47</v>
      </c>
      <c r="F6" s="12">
        <f>SUM(GovByAssemblyDistrict122General[[#This Row],[Part of Broome County Vote Results]:[Part of Otsego County Vote Results]])</f>
        <v>727</v>
      </c>
      <c r="G6" s="13">
        <f>GovByAssemblyDistrict122General[[#This Row],[Total Votes by Party]]</f>
        <v>727</v>
      </c>
    </row>
    <row r="7" spans="1:7" x14ac:dyDescent="0.2">
      <c r="A7" s="2" t="s">
        <v>7</v>
      </c>
      <c r="B7" s="3">
        <v>249</v>
      </c>
      <c r="C7" s="3">
        <v>109</v>
      </c>
      <c r="D7" s="3">
        <v>64</v>
      </c>
      <c r="E7" s="3">
        <v>28</v>
      </c>
      <c r="F7" s="12">
        <f>SUM(GovByAssemblyDistrict122General[[#This Row],[Part of Broome County Vote Results]:[Part of Otsego County Vote Results]])</f>
        <v>450</v>
      </c>
      <c r="G7" s="14"/>
    </row>
    <row r="8" spans="1:7" x14ac:dyDescent="0.2">
      <c r="A8" s="2" t="s">
        <v>8</v>
      </c>
      <c r="B8" s="3">
        <v>272</v>
      </c>
      <c r="C8" s="3">
        <v>117</v>
      </c>
      <c r="D8" s="3">
        <v>58</v>
      </c>
      <c r="E8" s="3">
        <v>13</v>
      </c>
      <c r="F8" s="12">
        <f>SUM(GovByAssemblyDistrict122General[[#This Row],[Part of Broome County Vote Results]:[Part of Otsego County Vote Results]])</f>
        <v>460</v>
      </c>
      <c r="G8" s="14"/>
    </row>
    <row r="9" spans="1:7" x14ac:dyDescent="0.2">
      <c r="A9" s="2" t="s">
        <v>9</v>
      </c>
      <c r="B9" s="3">
        <v>86</v>
      </c>
      <c r="C9" s="3">
        <v>50</v>
      </c>
      <c r="D9" s="3">
        <v>40</v>
      </c>
      <c r="E9" s="3">
        <v>14</v>
      </c>
      <c r="F9" s="12">
        <f>SUM(GovByAssemblyDistrict122General[[#This Row],[Part of Broome County Vote Results]:[Part of Otsego County Vote Results]])</f>
        <v>190</v>
      </c>
      <c r="G9" s="14"/>
    </row>
    <row r="10" spans="1:7" x14ac:dyDescent="0.2">
      <c r="A10" s="2" t="s">
        <v>16</v>
      </c>
      <c r="B10" s="3">
        <v>175</v>
      </c>
      <c r="C10" s="3">
        <v>84</v>
      </c>
      <c r="D10" s="3">
        <v>41</v>
      </c>
      <c r="E10" s="3">
        <v>18</v>
      </c>
      <c r="F10" s="12">
        <f>SUM(GovByAssemblyDistrict122General[[#This Row],[Part of Broome County Vote Results]:[Part of Otsego County Vote Results]])</f>
        <v>318</v>
      </c>
      <c r="G10" s="14"/>
    </row>
    <row r="11" spans="1:7" x14ac:dyDescent="0.2">
      <c r="A11" s="2" t="s">
        <v>10</v>
      </c>
      <c r="B11" s="3">
        <v>768</v>
      </c>
      <c r="C11" s="3">
        <v>580</v>
      </c>
      <c r="D11" s="3">
        <v>441</v>
      </c>
      <c r="E11" s="3">
        <v>100</v>
      </c>
      <c r="F11" s="12">
        <f>SUM(GovByAssemblyDistrict122General[[#This Row],[Part of Broome County Vote Results]:[Part of Otsego County Vote Results]])</f>
        <v>1889</v>
      </c>
      <c r="G11" s="13">
        <f>GovByAssemblyDistrict122General[[#This Row],[Total Votes by Party]]</f>
        <v>1889</v>
      </c>
    </row>
    <row r="12" spans="1:7" x14ac:dyDescent="0.2">
      <c r="A12" s="4" t="s">
        <v>11</v>
      </c>
      <c r="B12" s="3">
        <v>253</v>
      </c>
      <c r="C12" s="3">
        <v>162</v>
      </c>
      <c r="D12" s="3">
        <v>52</v>
      </c>
      <c r="E12" s="3">
        <v>25</v>
      </c>
      <c r="F12" s="12">
        <f>SUM(GovByAssemblyDistrict122General[[#This Row],[Part of Broome County Vote Results]:[Part of Otsego County Vote Results]])</f>
        <v>492</v>
      </c>
      <c r="G12" s="13">
        <f>GovByAssemblyDistrict122General[[#This Row],[Total Votes by Party]]</f>
        <v>492</v>
      </c>
    </row>
    <row r="13" spans="1:7" x14ac:dyDescent="0.2">
      <c r="A13" s="4" t="s">
        <v>0</v>
      </c>
      <c r="B13" s="3">
        <v>735</v>
      </c>
      <c r="C13" s="3">
        <v>431</v>
      </c>
      <c r="D13" s="3">
        <v>135</v>
      </c>
      <c r="E13" s="3">
        <v>121</v>
      </c>
      <c r="F13" s="12">
        <f>SUM(GovByAssemblyDistrict122General[[#This Row],[Part of Broome County Vote Results]:[Part of Otsego County Vote Results]])</f>
        <v>1422</v>
      </c>
      <c r="G13" s="14"/>
    </row>
    <row r="14" spans="1:7" x14ac:dyDescent="0.2">
      <c r="A14" s="4" t="s">
        <v>1</v>
      </c>
      <c r="B14" s="3">
        <v>76</v>
      </c>
      <c r="C14" s="3">
        <v>9</v>
      </c>
      <c r="D14" s="3">
        <v>2</v>
      </c>
      <c r="E14" s="3">
        <v>10</v>
      </c>
      <c r="F14" s="12">
        <f>SUM(GovByAssemblyDistrict122General[[#This Row],[Part of Broome County Vote Results]:[Part of Otsego County Vote Results]])</f>
        <v>97</v>
      </c>
      <c r="G14" s="14"/>
    </row>
    <row r="15" spans="1:7" x14ac:dyDescent="0.2">
      <c r="A15" s="4" t="s">
        <v>2</v>
      </c>
      <c r="B15" s="5">
        <v>15</v>
      </c>
      <c r="C15" s="5">
        <v>9</v>
      </c>
      <c r="D15" s="5">
        <v>6</v>
      </c>
      <c r="E15" s="5">
        <v>0</v>
      </c>
      <c r="F15" s="12">
        <f>SUM(GovByAssemblyDistrict122General[[#This Row],[Part of Broome County Vote Results]:[Part of Otsego County Vote Results]])</f>
        <v>30</v>
      </c>
      <c r="G15" s="14"/>
    </row>
    <row r="16" spans="1:7" hidden="1" x14ac:dyDescent="0.2">
      <c r="A16" s="4" t="s">
        <v>4</v>
      </c>
      <c r="B16" s="6">
        <f>SUBTOTAL(109,GovByAssemblyDistrict122General[Part of Broome County Vote Results])</f>
        <v>25165</v>
      </c>
      <c r="C16" s="6"/>
      <c r="D16" s="6"/>
      <c r="E16" s="6">
        <f>SUBTOTAL(109,GovByAssemblyDistrict122General[Part of Otsego County Vote Results])</f>
        <v>2773</v>
      </c>
      <c r="F16" s="6"/>
      <c r="G16" s="9"/>
    </row>
  </sheetData>
  <pageMargins left="0.7" right="0.7" top="0.75" bottom="0.75" header="0.3" footer="0.3"/>
  <tableParts count="1">
    <tablePart r:id="rId1"/>
  </tableParts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D30A8-EF52-40A2-A5A8-AD5615EA3344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179</v>
      </c>
    </row>
    <row r="2" spans="1:4" ht="24.95" customHeight="1" x14ac:dyDescent="0.2">
      <c r="A2" s="7" t="s">
        <v>12</v>
      </c>
      <c r="B2" s="8" t="s">
        <v>177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21152</v>
      </c>
      <c r="C3" s="12">
        <f>GovByAssemblyDistrict123General[[#This Row],[Part of Broome County Vote Results]]</f>
        <v>21152</v>
      </c>
      <c r="D3" s="13">
        <f>SUM(C3,C7,C8,C9)</f>
        <v>22958</v>
      </c>
    </row>
    <row r="4" spans="1:4" x14ac:dyDescent="0.2">
      <c r="A4" s="2" t="s">
        <v>14</v>
      </c>
      <c r="B4" s="3">
        <v>17960</v>
      </c>
      <c r="C4" s="12">
        <f>GovByAssemblyDistrict123General[[#This Row],[Part of Broome County Vote Results]]</f>
        <v>17960</v>
      </c>
      <c r="D4" s="13">
        <f>SUM(C4,C5,C10)</f>
        <v>20126</v>
      </c>
    </row>
    <row r="5" spans="1:4" x14ac:dyDescent="0.2">
      <c r="A5" s="2" t="s">
        <v>15</v>
      </c>
      <c r="B5" s="3">
        <v>1887</v>
      </c>
      <c r="C5" s="12">
        <f>GovByAssemblyDistrict123General[[#This Row],[Part of Broome County Vote Results]]</f>
        <v>1887</v>
      </c>
      <c r="D5" s="14"/>
    </row>
    <row r="6" spans="1:4" x14ac:dyDescent="0.2">
      <c r="A6" s="2" t="s">
        <v>6</v>
      </c>
      <c r="B6" s="3">
        <v>953</v>
      </c>
      <c r="C6" s="12">
        <f>GovByAssemblyDistrict123General[[#This Row],[Part of Broome County Vote Results]]</f>
        <v>953</v>
      </c>
      <c r="D6" s="13">
        <f>GovByAssemblyDistrict123General[[#This Row],[Total Votes by Party]]</f>
        <v>953</v>
      </c>
    </row>
    <row r="7" spans="1:4" x14ac:dyDescent="0.2">
      <c r="A7" s="2" t="s">
        <v>7</v>
      </c>
      <c r="B7" s="3">
        <v>875</v>
      </c>
      <c r="C7" s="12">
        <f>GovByAssemblyDistrict123General[[#This Row],[Part of Broome County Vote Results]]</f>
        <v>875</v>
      </c>
      <c r="D7" s="14"/>
    </row>
    <row r="8" spans="1:4" x14ac:dyDescent="0.2">
      <c r="A8" s="2" t="s">
        <v>8</v>
      </c>
      <c r="B8" s="3">
        <v>642</v>
      </c>
      <c r="C8" s="12">
        <f>GovByAssemblyDistrict123General[[#This Row],[Part of Broome County Vote Results]]</f>
        <v>642</v>
      </c>
      <c r="D8" s="14"/>
    </row>
    <row r="9" spans="1:4" x14ac:dyDescent="0.2">
      <c r="A9" s="2" t="s">
        <v>9</v>
      </c>
      <c r="B9" s="3">
        <v>289</v>
      </c>
      <c r="C9" s="12">
        <f>GovByAssemblyDistrict123General[[#This Row],[Part of Broome County Vote Results]]</f>
        <v>289</v>
      </c>
      <c r="D9" s="14"/>
    </row>
    <row r="10" spans="1:4" x14ac:dyDescent="0.2">
      <c r="A10" s="2" t="s">
        <v>16</v>
      </c>
      <c r="B10" s="3">
        <v>279</v>
      </c>
      <c r="C10" s="12">
        <f>GovByAssemblyDistrict123General[[#This Row],[Part of Broome County Vote Results]]</f>
        <v>279</v>
      </c>
      <c r="D10" s="14"/>
    </row>
    <row r="11" spans="1:4" x14ac:dyDescent="0.2">
      <c r="A11" s="2" t="s">
        <v>10</v>
      </c>
      <c r="B11" s="3">
        <v>1178</v>
      </c>
      <c r="C11" s="12">
        <f>GovByAssemblyDistrict123General[[#This Row],[Part of Broome County Vote Results]]</f>
        <v>1178</v>
      </c>
      <c r="D11" s="13">
        <f>GovByAssemblyDistrict123General[[#This Row],[Total Votes by Party]]</f>
        <v>1178</v>
      </c>
    </row>
    <row r="12" spans="1:4" x14ac:dyDescent="0.2">
      <c r="A12" s="4" t="s">
        <v>11</v>
      </c>
      <c r="B12" s="5">
        <v>527</v>
      </c>
      <c r="C12" s="12">
        <f>GovByAssemblyDistrict123General[[#This Row],[Part of Broome County Vote Results]]</f>
        <v>527</v>
      </c>
      <c r="D12" s="13">
        <f>GovByAssemblyDistrict123General[[#This Row],[Total Votes by Party]]</f>
        <v>527</v>
      </c>
    </row>
    <row r="13" spans="1:4" x14ac:dyDescent="0.2">
      <c r="A13" s="4" t="s">
        <v>0</v>
      </c>
      <c r="B13" s="5">
        <v>1180</v>
      </c>
      <c r="C13" s="12">
        <f>GovByAssemblyDistrict123General[[#This Row],[Part of Broome County Vote Results]]</f>
        <v>1180</v>
      </c>
      <c r="D13" s="14"/>
    </row>
    <row r="14" spans="1:4" x14ac:dyDescent="0.2">
      <c r="A14" s="4" t="s">
        <v>1</v>
      </c>
      <c r="B14" s="5">
        <v>173</v>
      </c>
      <c r="C14" s="12">
        <f>GovByAssemblyDistrict123General[[#This Row],[Part of Broome County Vote Results]]</f>
        <v>173</v>
      </c>
      <c r="D14" s="14"/>
    </row>
    <row r="15" spans="1:4" x14ac:dyDescent="0.2">
      <c r="A15" s="4" t="s">
        <v>2</v>
      </c>
      <c r="B15" s="5">
        <v>34</v>
      </c>
      <c r="C15" s="12">
        <f>GovByAssemblyDistrict123General[[#This Row],[Part of Broome County Vote Results]]</f>
        <v>34</v>
      </c>
      <c r="D15" s="14"/>
    </row>
    <row r="16" spans="1:4" hidden="1" x14ac:dyDescent="0.2">
      <c r="A16" s="4" t="s">
        <v>4</v>
      </c>
      <c r="B16" s="6">
        <f>SUBTOTAL(109,GovByAssemblyDistrict123General[Total Votes by Candidate])</f>
        <v>45742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A9928-32C6-4604-8D15-36D39EE489F6}">
  <dimension ref="A1:F16"/>
  <sheetViews>
    <sheetView workbookViewId="0">
      <selection activeCell="C18" sqref="C18"/>
    </sheetView>
  </sheetViews>
  <sheetFormatPr defaultRowHeight="12.75" x14ac:dyDescent="0.2"/>
  <cols>
    <col min="1" max="1" width="25.5703125" customWidth="1"/>
    <col min="2" max="6" width="20.5703125" customWidth="1"/>
    <col min="7" max="8" width="23.5703125" customWidth="1"/>
  </cols>
  <sheetData>
    <row r="1" spans="1:6" ht="24.75" customHeight="1" x14ac:dyDescent="0.2">
      <c r="A1" s="1" t="s">
        <v>180</v>
      </c>
    </row>
    <row r="2" spans="1:6" ht="25.5" x14ac:dyDescent="0.2">
      <c r="A2" s="7" t="s">
        <v>12</v>
      </c>
      <c r="B2" s="8" t="s">
        <v>181</v>
      </c>
      <c r="C2" s="8" t="s">
        <v>177</v>
      </c>
      <c r="D2" s="8" t="s">
        <v>182</v>
      </c>
      <c r="E2" s="10" t="s">
        <v>228</v>
      </c>
      <c r="F2" s="11" t="s">
        <v>5</v>
      </c>
    </row>
    <row r="3" spans="1:6" x14ac:dyDescent="0.2">
      <c r="A3" s="2" t="s">
        <v>3</v>
      </c>
      <c r="B3" s="3">
        <v>5625</v>
      </c>
      <c r="C3" s="3">
        <v>646</v>
      </c>
      <c r="D3" s="3">
        <v>8814</v>
      </c>
      <c r="E3" s="12">
        <f>SUM(GovByAssemblyDistrict124General[[#This Row],[Tioga County Vote Results]:[Part of Chemung County Vote Results]])</f>
        <v>15085</v>
      </c>
      <c r="F3" s="13">
        <f>SUM(E3,E7,E8,E9)</f>
        <v>15981</v>
      </c>
    </row>
    <row r="4" spans="1:6" x14ac:dyDescent="0.2">
      <c r="A4" s="2" t="s">
        <v>14</v>
      </c>
      <c r="B4" s="3">
        <v>10180</v>
      </c>
      <c r="C4" s="3">
        <v>1193</v>
      </c>
      <c r="D4" s="3">
        <v>13430</v>
      </c>
      <c r="E4" s="12">
        <f>SUM(GovByAssemblyDistrict124General[[#This Row],[Tioga County Vote Results]:[Part of Chemung County Vote Results]])</f>
        <v>24803</v>
      </c>
      <c r="F4" s="13">
        <f>SUM(E4,E5,E10)</f>
        <v>27217</v>
      </c>
    </row>
    <row r="5" spans="1:6" x14ac:dyDescent="0.2">
      <c r="A5" s="2" t="s">
        <v>15</v>
      </c>
      <c r="B5" s="3">
        <v>780</v>
      </c>
      <c r="C5" s="3">
        <v>147</v>
      </c>
      <c r="D5" s="3">
        <v>1210</v>
      </c>
      <c r="E5" s="12">
        <f>SUM(GovByAssemblyDistrict124General[[#This Row],[Tioga County Vote Results]:[Part of Chemung County Vote Results]])</f>
        <v>2137</v>
      </c>
      <c r="F5" s="14"/>
    </row>
    <row r="6" spans="1:6" x14ac:dyDescent="0.2">
      <c r="A6" s="2" t="s">
        <v>6</v>
      </c>
      <c r="B6" s="3">
        <v>259</v>
      </c>
      <c r="C6" s="3">
        <v>20</v>
      </c>
      <c r="D6" s="3">
        <v>308</v>
      </c>
      <c r="E6" s="12">
        <f>SUM(GovByAssemblyDistrict124General[[#This Row],[Tioga County Vote Results]:[Part of Chemung County Vote Results]])</f>
        <v>587</v>
      </c>
      <c r="F6" s="13">
        <f>GovByAssemblyDistrict124General[[#This Row],[Total Votes by Party]]</f>
        <v>587</v>
      </c>
    </row>
    <row r="7" spans="1:6" x14ac:dyDescent="0.2">
      <c r="A7" s="2" t="s">
        <v>7</v>
      </c>
      <c r="B7" s="3">
        <v>150</v>
      </c>
      <c r="C7" s="3">
        <v>20</v>
      </c>
      <c r="D7" s="3">
        <v>178</v>
      </c>
      <c r="E7" s="12">
        <f>SUM(GovByAssemblyDistrict124General[[#This Row],[Tioga County Vote Results]:[Part of Chemung County Vote Results]])</f>
        <v>348</v>
      </c>
      <c r="F7" s="14"/>
    </row>
    <row r="8" spans="1:6" x14ac:dyDescent="0.2">
      <c r="A8" s="2" t="s">
        <v>8</v>
      </c>
      <c r="B8" s="3">
        <v>143</v>
      </c>
      <c r="C8" s="3">
        <v>17</v>
      </c>
      <c r="D8" s="3">
        <v>231</v>
      </c>
      <c r="E8" s="12">
        <f>SUM(GovByAssemblyDistrict124General[[#This Row],[Tioga County Vote Results]:[Part of Chemung County Vote Results]])</f>
        <v>391</v>
      </c>
      <c r="F8" s="14"/>
    </row>
    <row r="9" spans="1:6" x14ac:dyDescent="0.2">
      <c r="A9" s="2" t="s">
        <v>9</v>
      </c>
      <c r="B9" s="3">
        <v>60</v>
      </c>
      <c r="C9" s="3">
        <v>4</v>
      </c>
      <c r="D9" s="3">
        <v>93</v>
      </c>
      <c r="E9" s="12">
        <f>SUM(GovByAssemblyDistrict124General[[#This Row],[Tioga County Vote Results]:[Part of Chemung County Vote Results]])</f>
        <v>157</v>
      </c>
      <c r="F9" s="14"/>
    </row>
    <row r="10" spans="1:6" x14ac:dyDescent="0.2">
      <c r="A10" s="2" t="s">
        <v>16</v>
      </c>
      <c r="B10" s="3">
        <v>85</v>
      </c>
      <c r="C10" s="3">
        <v>20</v>
      </c>
      <c r="D10" s="3">
        <v>172</v>
      </c>
      <c r="E10" s="12">
        <f>SUM(GovByAssemblyDistrict124General[[#This Row],[Tioga County Vote Results]:[Part of Chemung County Vote Results]])</f>
        <v>277</v>
      </c>
      <c r="F10" s="14"/>
    </row>
    <row r="11" spans="1:6" x14ac:dyDescent="0.2">
      <c r="A11" s="2" t="s">
        <v>10</v>
      </c>
      <c r="B11" s="3">
        <v>818</v>
      </c>
      <c r="C11" s="3">
        <v>54</v>
      </c>
      <c r="D11" s="3">
        <v>1355</v>
      </c>
      <c r="E11" s="12">
        <f>SUM(GovByAssemblyDistrict124General[[#This Row],[Tioga County Vote Results]:[Part of Chemung County Vote Results]])</f>
        <v>2227</v>
      </c>
      <c r="F11" s="13">
        <f>GovByAssemblyDistrict124General[[#This Row],[Total Votes by Party]]</f>
        <v>2227</v>
      </c>
    </row>
    <row r="12" spans="1:6" x14ac:dyDescent="0.2">
      <c r="A12" s="4" t="s">
        <v>11</v>
      </c>
      <c r="B12" s="3">
        <v>184</v>
      </c>
      <c r="C12" s="3">
        <v>22</v>
      </c>
      <c r="D12" s="3">
        <v>228</v>
      </c>
      <c r="E12" s="12">
        <f>SUM(GovByAssemblyDistrict124General[[#This Row],[Tioga County Vote Results]:[Part of Chemung County Vote Results]])</f>
        <v>434</v>
      </c>
      <c r="F12" s="13">
        <f>GovByAssemblyDistrict124General[[#This Row],[Total Votes by Party]]</f>
        <v>434</v>
      </c>
    </row>
    <row r="13" spans="1:6" x14ac:dyDescent="0.2">
      <c r="A13" s="4" t="s">
        <v>0</v>
      </c>
      <c r="B13" s="3">
        <v>511</v>
      </c>
      <c r="C13" s="3">
        <v>66</v>
      </c>
      <c r="D13" s="3">
        <v>491</v>
      </c>
      <c r="E13" s="12">
        <f>SUM(GovByAssemblyDistrict124General[[#This Row],[Tioga County Vote Results]:[Part of Chemung County Vote Results]])</f>
        <v>1068</v>
      </c>
      <c r="F13" s="14"/>
    </row>
    <row r="14" spans="1:6" x14ac:dyDescent="0.2">
      <c r="A14" s="4" t="s">
        <v>1</v>
      </c>
      <c r="B14" s="3">
        <v>5</v>
      </c>
      <c r="C14" s="3">
        <v>3</v>
      </c>
      <c r="D14" s="3">
        <v>0</v>
      </c>
      <c r="E14" s="12">
        <f>SUM(GovByAssemblyDistrict124General[[#This Row],[Tioga County Vote Results]:[Part of Chemung County Vote Results]])</f>
        <v>8</v>
      </c>
      <c r="F14" s="14"/>
    </row>
    <row r="15" spans="1:6" x14ac:dyDescent="0.2">
      <c r="A15" s="4" t="s">
        <v>2</v>
      </c>
      <c r="B15" s="5">
        <v>3</v>
      </c>
      <c r="C15" s="5">
        <v>1</v>
      </c>
      <c r="D15" s="5">
        <v>19</v>
      </c>
      <c r="E15" s="12">
        <f>SUM(GovByAssemblyDistrict124General[[#This Row],[Tioga County Vote Results]:[Part of Chemung County Vote Results]])</f>
        <v>23</v>
      </c>
      <c r="F15" s="14"/>
    </row>
    <row r="16" spans="1:6" hidden="1" x14ac:dyDescent="0.2">
      <c r="A16" s="4" t="s">
        <v>4</v>
      </c>
      <c r="B16" s="6">
        <f>SUBTOTAL(109,GovByAssemblyDistrict124General[Tioga County Vote Results])</f>
        <v>18803</v>
      </c>
      <c r="C16" s="6"/>
      <c r="D16" s="6">
        <f>SUBTOTAL(109,GovByAssemblyDistrict124General[Part of Chemung County Vote Results])</f>
        <v>26529</v>
      </c>
      <c r="E16" s="6"/>
      <c r="F16" s="9"/>
    </row>
  </sheetData>
  <pageMargins left="0.7" right="0.7" top="0.75" bottom="0.75" header="0.3" footer="0.3"/>
  <tableParts count="1">
    <tablePart r:id="rId1"/>
  </tableParts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0BC22-2E8F-43CF-B8F2-D51C86F2FEC8}">
  <dimension ref="A1:E16"/>
  <sheetViews>
    <sheetView workbookViewId="0">
      <selection activeCell="B19" sqref="B19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24.75" customHeight="1" x14ac:dyDescent="0.2">
      <c r="A1" s="1" t="s">
        <v>183</v>
      </c>
    </row>
    <row r="2" spans="1:5" ht="25.5" x14ac:dyDescent="0.2">
      <c r="A2" s="7" t="s">
        <v>12</v>
      </c>
      <c r="B2" s="8" t="s">
        <v>184</v>
      </c>
      <c r="C2" s="8" t="s">
        <v>185</v>
      </c>
      <c r="D2" s="10" t="s">
        <v>228</v>
      </c>
      <c r="E2" s="11" t="s">
        <v>5</v>
      </c>
    </row>
    <row r="3" spans="1:5" x14ac:dyDescent="0.2">
      <c r="A3" s="2" t="s">
        <v>3</v>
      </c>
      <c r="B3" s="3">
        <v>21716</v>
      </c>
      <c r="C3" s="3">
        <v>3984</v>
      </c>
      <c r="D3" s="12">
        <f>SUM(GovByAssemblyDistrict125General[[#This Row],[Tompkins County Vote Results]:[Part of Cortland County Vote Results]])</f>
        <v>25700</v>
      </c>
      <c r="E3" s="13">
        <f>SUM(D3,D7,D8,D9)</f>
        <v>28594</v>
      </c>
    </row>
    <row r="4" spans="1:5" x14ac:dyDescent="0.2">
      <c r="A4" s="2" t="s">
        <v>14</v>
      </c>
      <c r="B4" s="3">
        <v>7785</v>
      </c>
      <c r="C4" s="3">
        <v>3705</v>
      </c>
      <c r="D4" s="12">
        <f>SUM(GovByAssemblyDistrict125General[[#This Row],[Tompkins County Vote Results]:[Part of Cortland County Vote Results]])</f>
        <v>11490</v>
      </c>
      <c r="E4" s="13">
        <f>SUM(D4,D5,D10)</f>
        <v>13070</v>
      </c>
    </row>
    <row r="5" spans="1:5" x14ac:dyDescent="0.2">
      <c r="A5" s="2" t="s">
        <v>15</v>
      </c>
      <c r="B5" s="3">
        <v>918</v>
      </c>
      <c r="C5" s="3">
        <v>439</v>
      </c>
      <c r="D5" s="12">
        <f>SUM(GovByAssemblyDistrict125General[[#This Row],[Tompkins County Vote Results]:[Part of Cortland County Vote Results]])</f>
        <v>1357</v>
      </c>
      <c r="E5" s="14"/>
    </row>
    <row r="6" spans="1:5" x14ac:dyDescent="0.2">
      <c r="A6" s="2" t="s">
        <v>6</v>
      </c>
      <c r="B6" s="3">
        <v>1627</v>
      </c>
      <c r="C6" s="3">
        <v>175</v>
      </c>
      <c r="D6" s="12">
        <f>SUM(GovByAssemblyDistrict125General[[#This Row],[Tompkins County Vote Results]:[Part of Cortland County Vote Results]])</f>
        <v>1802</v>
      </c>
      <c r="E6" s="13">
        <f>GovByAssemblyDistrict125General[[#This Row],[Total Votes by Party]]</f>
        <v>1802</v>
      </c>
    </row>
    <row r="7" spans="1:5" x14ac:dyDescent="0.2">
      <c r="A7" s="2" t="s">
        <v>7</v>
      </c>
      <c r="B7" s="3">
        <v>1812</v>
      </c>
      <c r="C7" s="3">
        <v>110</v>
      </c>
      <c r="D7" s="12">
        <f>SUM(GovByAssemblyDistrict125General[[#This Row],[Tompkins County Vote Results]:[Part of Cortland County Vote Results]])</f>
        <v>1922</v>
      </c>
      <c r="E7" s="14"/>
    </row>
    <row r="8" spans="1:5" x14ac:dyDescent="0.2">
      <c r="A8" s="2" t="s">
        <v>8</v>
      </c>
      <c r="B8" s="3">
        <v>360</v>
      </c>
      <c r="C8" s="3">
        <v>120</v>
      </c>
      <c r="D8" s="12">
        <f>SUM(GovByAssemblyDistrict125General[[#This Row],[Tompkins County Vote Results]:[Part of Cortland County Vote Results]])</f>
        <v>480</v>
      </c>
      <c r="E8" s="14"/>
    </row>
    <row r="9" spans="1:5" x14ac:dyDescent="0.2">
      <c r="A9" s="2" t="s">
        <v>9</v>
      </c>
      <c r="B9" s="3">
        <v>437</v>
      </c>
      <c r="C9" s="3">
        <v>55</v>
      </c>
      <c r="D9" s="12">
        <f>SUM(GovByAssemblyDistrict125General[[#This Row],[Tompkins County Vote Results]:[Part of Cortland County Vote Results]])</f>
        <v>492</v>
      </c>
      <c r="E9" s="14"/>
    </row>
    <row r="10" spans="1:5" x14ac:dyDescent="0.2">
      <c r="A10" s="2" t="s">
        <v>16</v>
      </c>
      <c r="B10" s="3">
        <v>156</v>
      </c>
      <c r="C10" s="3">
        <v>67</v>
      </c>
      <c r="D10" s="12">
        <f>SUM(GovByAssemblyDistrict125General[[#This Row],[Tompkins County Vote Results]:[Part of Cortland County Vote Results]])</f>
        <v>223</v>
      </c>
      <c r="E10" s="14"/>
    </row>
    <row r="11" spans="1:5" x14ac:dyDescent="0.2">
      <c r="A11" s="2" t="s">
        <v>10</v>
      </c>
      <c r="B11" s="3">
        <v>1444</v>
      </c>
      <c r="C11" s="3">
        <v>551</v>
      </c>
      <c r="D11" s="12">
        <f>SUM(GovByAssemblyDistrict125General[[#This Row],[Tompkins County Vote Results]:[Part of Cortland County Vote Results]])</f>
        <v>1995</v>
      </c>
      <c r="E11" s="13">
        <f>GovByAssemblyDistrict125General[[#This Row],[Total Votes by Party]]</f>
        <v>1995</v>
      </c>
    </row>
    <row r="12" spans="1:5" x14ac:dyDescent="0.2">
      <c r="A12" s="4" t="s">
        <v>11</v>
      </c>
      <c r="B12" s="3">
        <v>842</v>
      </c>
      <c r="C12" s="3">
        <v>391</v>
      </c>
      <c r="D12" s="12">
        <f>SUM(GovByAssemblyDistrict125General[[#This Row],[Tompkins County Vote Results]:[Part of Cortland County Vote Results]])</f>
        <v>1233</v>
      </c>
      <c r="E12" s="13">
        <f>GovByAssemblyDistrict125General[[#This Row],[Total Votes by Party]]</f>
        <v>1233</v>
      </c>
    </row>
    <row r="13" spans="1:5" x14ac:dyDescent="0.2">
      <c r="A13" s="4" t="s">
        <v>0</v>
      </c>
      <c r="B13" s="3">
        <v>619</v>
      </c>
      <c r="C13" s="3">
        <v>373</v>
      </c>
      <c r="D13" s="12">
        <f>SUM(GovByAssemblyDistrict125General[[#This Row],[Tompkins County Vote Results]:[Part of Cortland County Vote Results]])</f>
        <v>992</v>
      </c>
      <c r="E13" s="14"/>
    </row>
    <row r="14" spans="1:5" x14ac:dyDescent="0.2">
      <c r="A14" s="4" t="s">
        <v>1</v>
      </c>
      <c r="B14" s="3">
        <v>65</v>
      </c>
      <c r="C14" s="3">
        <v>0</v>
      </c>
      <c r="D14" s="12">
        <f>SUM(GovByAssemblyDistrict125General[[#This Row],[Tompkins County Vote Results]:[Part of Cortland County Vote Results]])</f>
        <v>65</v>
      </c>
      <c r="E14" s="14"/>
    </row>
    <row r="15" spans="1:5" x14ac:dyDescent="0.2">
      <c r="A15" s="4" t="s">
        <v>2</v>
      </c>
      <c r="B15" s="5">
        <v>63</v>
      </c>
      <c r="C15" s="5">
        <v>6</v>
      </c>
      <c r="D15" s="12">
        <f>SUM(GovByAssemblyDistrict125General[[#This Row],[Tompkins County Vote Results]:[Part of Cortland County Vote Results]])</f>
        <v>69</v>
      </c>
      <c r="E15" s="14"/>
    </row>
    <row r="16" spans="1:5" hidden="1" x14ac:dyDescent="0.2">
      <c r="A16" s="4" t="s">
        <v>4</v>
      </c>
      <c r="B16" s="6">
        <f>SUBTOTAL(109,GovByAssemblyDistrict125General[Tompkins County Vote Results])</f>
        <v>37844</v>
      </c>
      <c r="C16" s="6">
        <f>SUBTOTAL(109,GovByAssemblyDistrict125General[Part of Cortland County Vote Results])</f>
        <v>9976</v>
      </c>
      <c r="D16" s="6"/>
      <c r="E16" s="9"/>
    </row>
  </sheetData>
  <pageMargins left="0.7" right="0.7" top="0.75" bottom="0.75" header="0.3" footer="0.3"/>
  <tableParts count="1">
    <tablePart r:id="rId1"/>
  </tableParts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D37C9-CD7C-44B5-8FEB-5CF153CC795C}">
  <dimension ref="A1:G16"/>
  <sheetViews>
    <sheetView workbookViewId="0">
      <selection activeCell="C15" sqref="C15"/>
    </sheetView>
  </sheetViews>
  <sheetFormatPr defaultRowHeight="12.75" x14ac:dyDescent="0.2"/>
  <cols>
    <col min="1" max="1" width="25.5703125" customWidth="1"/>
    <col min="2" max="7" width="20.5703125" customWidth="1"/>
    <col min="8" max="9" width="23.5703125" customWidth="1"/>
  </cols>
  <sheetData>
    <row r="1" spans="1:7" ht="24.75" customHeight="1" x14ac:dyDescent="0.2">
      <c r="A1" s="1" t="s">
        <v>186</v>
      </c>
    </row>
    <row r="2" spans="1:7" ht="25.5" x14ac:dyDescent="0.2">
      <c r="A2" s="7" t="s">
        <v>12</v>
      </c>
      <c r="B2" s="8" t="s">
        <v>187</v>
      </c>
      <c r="C2" s="8" t="s">
        <v>178</v>
      </c>
      <c r="D2" s="8" t="s">
        <v>185</v>
      </c>
      <c r="E2" s="8" t="s">
        <v>172</v>
      </c>
      <c r="F2" s="10" t="s">
        <v>228</v>
      </c>
      <c r="G2" s="11" t="s">
        <v>5</v>
      </c>
    </row>
    <row r="3" spans="1:7" x14ac:dyDescent="0.2">
      <c r="A3" s="2" t="s">
        <v>3</v>
      </c>
      <c r="B3" s="3">
        <v>6668</v>
      </c>
      <c r="C3" s="3">
        <v>953</v>
      </c>
      <c r="D3" s="3">
        <v>1979</v>
      </c>
      <c r="E3" s="3">
        <v>9487</v>
      </c>
      <c r="F3" s="12">
        <f>SUM(GovByAssemblyDistrict126General[[#This Row],[Part of Cayuga County Vote Results]:[Part of Onondaga County Vote Results]])</f>
        <v>19087</v>
      </c>
      <c r="G3" s="13">
        <f>SUM(F3,F7,F8,F9)</f>
        <v>20628</v>
      </c>
    </row>
    <row r="4" spans="1:7" x14ac:dyDescent="0.2">
      <c r="A4" s="2" t="s">
        <v>14</v>
      </c>
      <c r="B4" s="3">
        <v>7900</v>
      </c>
      <c r="C4" s="3">
        <v>2270</v>
      </c>
      <c r="D4" s="3">
        <v>3324</v>
      </c>
      <c r="E4" s="3">
        <v>10865</v>
      </c>
      <c r="F4" s="12">
        <f>SUM(GovByAssemblyDistrict126General[[#This Row],[Part of Cayuga County Vote Results]:[Part of Onondaga County Vote Results]])</f>
        <v>24359</v>
      </c>
      <c r="G4" s="13">
        <f>SUM(F4,F5,F10)</f>
        <v>28250</v>
      </c>
    </row>
    <row r="5" spans="1:7" x14ac:dyDescent="0.2">
      <c r="A5" s="2" t="s">
        <v>15</v>
      </c>
      <c r="B5" s="3">
        <v>1086</v>
      </c>
      <c r="C5" s="3">
        <v>163</v>
      </c>
      <c r="D5" s="3">
        <v>356</v>
      </c>
      <c r="E5" s="3">
        <v>1904</v>
      </c>
      <c r="F5" s="12">
        <f>SUM(GovByAssemblyDistrict126General[[#This Row],[Part of Cayuga County Vote Results]:[Part of Onondaga County Vote Results]])</f>
        <v>3509</v>
      </c>
      <c r="G5" s="14"/>
    </row>
    <row r="6" spans="1:7" x14ac:dyDescent="0.2">
      <c r="A6" s="2" t="s">
        <v>6</v>
      </c>
      <c r="B6" s="3">
        <v>349</v>
      </c>
      <c r="C6" s="3">
        <v>59</v>
      </c>
      <c r="D6" s="3">
        <v>116</v>
      </c>
      <c r="E6" s="3">
        <v>672</v>
      </c>
      <c r="F6" s="12">
        <f>SUM(GovByAssemblyDistrict126General[[#This Row],[Part of Cayuga County Vote Results]:[Part of Onondaga County Vote Results]])</f>
        <v>1196</v>
      </c>
      <c r="G6" s="13">
        <f>GovByAssemblyDistrict126General[[#This Row],[Total Votes by Party]]</f>
        <v>1196</v>
      </c>
    </row>
    <row r="7" spans="1:7" x14ac:dyDescent="0.2">
      <c r="A7" s="2" t="s">
        <v>7</v>
      </c>
      <c r="B7" s="3">
        <v>183</v>
      </c>
      <c r="C7" s="3">
        <v>30</v>
      </c>
      <c r="D7" s="3">
        <v>44</v>
      </c>
      <c r="E7" s="3">
        <v>268</v>
      </c>
      <c r="F7" s="12">
        <f>SUM(GovByAssemblyDistrict126General[[#This Row],[Part of Cayuga County Vote Results]:[Part of Onondaga County Vote Results]])</f>
        <v>525</v>
      </c>
      <c r="G7" s="14"/>
    </row>
    <row r="8" spans="1:7" x14ac:dyDescent="0.2">
      <c r="A8" s="2" t="s">
        <v>8</v>
      </c>
      <c r="B8" s="3">
        <v>222</v>
      </c>
      <c r="C8" s="3">
        <v>38</v>
      </c>
      <c r="D8" s="3">
        <v>67</v>
      </c>
      <c r="E8" s="3">
        <v>444</v>
      </c>
      <c r="F8" s="12">
        <f>SUM(GovByAssemblyDistrict126General[[#This Row],[Part of Cayuga County Vote Results]:[Part of Onondaga County Vote Results]])</f>
        <v>771</v>
      </c>
      <c r="G8" s="14"/>
    </row>
    <row r="9" spans="1:7" x14ac:dyDescent="0.2">
      <c r="A9" s="2" t="s">
        <v>9</v>
      </c>
      <c r="B9" s="3">
        <v>75</v>
      </c>
      <c r="C9" s="3">
        <v>11</v>
      </c>
      <c r="D9" s="3">
        <v>24</v>
      </c>
      <c r="E9" s="3">
        <v>135</v>
      </c>
      <c r="F9" s="12">
        <f>SUM(GovByAssemblyDistrict126General[[#This Row],[Part of Cayuga County Vote Results]:[Part of Onondaga County Vote Results]])</f>
        <v>245</v>
      </c>
      <c r="G9" s="14"/>
    </row>
    <row r="10" spans="1:7" x14ac:dyDescent="0.2">
      <c r="A10" s="2" t="s">
        <v>16</v>
      </c>
      <c r="B10" s="3">
        <v>127</v>
      </c>
      <c r="C10" s="3">
        <v>18</v>
      </c>
      <c r="D10" s="3">
        <v>62</v>
      </c>
      <c r="E10" s="3">
        <v>175</v>
      </c>
      <c r="F10" s="12">
        <f>SUM(GovByAssemblyDistrict126General[[#This Row],[Part of Cayuga County Vote Results]:[Part of Onondaga County Vote Results]])</f>
        <v>382</v>
      </c>
      <c r="G10" s="14"/>
    </row>
    <row r="11" spans="1:7" x14ac:dyDescent="0.2">
      <c r="A11" s="2" t="s">
        <v>10</v>
      </c>
      <c r="B11" s="3">
        <v>696</v>
      </c>
      <c r="C11" s="3">
        <v>186</v>
      </c>
      <c r="D11" s="3">
        <v>381</v>
      </c>
      <c r="E11" s="3">
        <v>654</v>
      </c>
      <c r="F11" s="12">
        <f>SUM(GovByAssemblyDistrict126General[[#This Row],[Part of Cayuga County Vote Results]:[Part of Onondaga County Vote Results]])</f>
        <v>1917</v>
      </c>
      <c r="G11" s="13">
        <f>GovByAssemblyDistrict126General[[#This Row],[Total Votes by Party]]</f>
        <v>1917</v>
      </c>
    </row>
    <row r="12" spans="1:7" x14ac:dyDescent="0.2">
      <c r="A12" s="4" t="s">
        <v>11</v>
      </c>
      <c r="B12" s="3">
        <v>517</v>
      </c>
      <c r="C12" s="3">
        <v>61</v>
      </c>
      <c r="D12" s="3">
        <v>286</v>
      </c>
      <c r="E12" s="3">
        <v>769</v>
      </c>
      <c r="F12" s="12">
        <f>SUM(GovByAssemblyDistrict126General[[#This Row],[Part of Cayuga County Vote Results]:[Part of Onondaga County Vote Results]])</f>
        <v>1633</v>
      </c>
      <c r="G12" s="13">
        <f>GovByAssemblyDistrict126General[[#This Row],[Total Votes by Party]]</f>
        <v>1633</v>
      </c>
    </row>
    <row r="13" spans="1:7" x14ac:dyDescent="0.2">
      <c r="A13" s="4" t="s">
        <v>0</v>
      </c>
      <c r="B13" s="3">
        <v>864</v>
      </c>
      <c r="C13" s="3">
        <v>144</v>
      </c>
      <c r="D13" s="3">
        <v>246</v>
      </c>
      <c r="E13" s="3">
        <v>695</v>
      </c>
      <c r="F13" s="12">
        <f>SUM(GovByAssemblyDistrict126General[[#This Row],[Part of Cayuga County Vote Results]:[Part of Onondaga County Vote Results]])</f>
        <v>1949</v>
      </c>
      <c r="G13" s="14"/>
    </row>
    <row r="14" spans="1:7" x14ac:dyDescent="0.2">
      <c r="A14" s="4" t="s">
        <v>1</v>
      </c>
      <c r="B14" s="3">
        <v>35</v>
      </c>
      <c r="C14" s="3">
        <v>2</v>
      </c>
      <c r="D14" s="3">
        <v>0</v>
      </c>
      <c r="E14" s="3">
        <v>0</v>
      </c>
      <c r="F14" s="12">
        <f>SUM(GovByAssemblyDistrict126General[[#This Row],[Part of Cayuga County Vote Results]:[Part of Onondaga County Vote Results]])</f>
        <v>37</v>
      </c>
      <c r="G14" s="14"/>
    </row>
    <row r="15" spans="1:7" x14ac:dyDescent="0.2">
      <c r="A15" s="4" t="s">
        <v>2</v>
      </c>
      <c r="B15" s="5">
        <v>6</v>
      </c>
      <c r="C15" s="5">
        <v>1</v>
      </c>
      <c r="D15" s="5">
        <v>2</v>
      </c>
      <c r="E15" s="5">
        <v>11</v>
      </c>
      <c r="F15" s="12">
        <f>SUM(GovByAssemblyDistrict126General[[#This Row],[Part of Cayuga County Vote Results]:[Part of Onondaga County Vote Results]])</f>
        <v>20</v>
      </c>
      <c r="G15" s="14"/>
    </row>
    <row r="16" spans="1:7" hidden="1" x14ac:dyDescent="0.2">
      <c r="A16" s="4" t="s">
        <v>4</v>
      </c>
      <c r="B16" s="6">
        <f>SUBTOTAL(109,GovByAssemblyDistrict126General[Part of Cayuga County Vote Results])</f>
        <v>18728</v>
      </c>
      <c r="C16" s="6"/>
      <c r="D16" s="6"/>
      <c r="E16" s="6">
        <f>SUBTOTAL(109,GovByAssemblyDistrict126General[Part of Onondaga County Vote Results])</f>
        <v>26079</v>
      </c>
      <c r="F16" s="6"/>
      <c r="G16" s="9"/>
    </row>
  </sheetData>
  <pageMargins left="0.7" right="0.7" top="0.75" bottom="0.75" header="0.3" footer="0.3"/>
  <tableParts count="1">
    <tablePart r:id="rId1"/>
  </tableParts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65472-8C9E-4179-A444-2E40D95E8591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188</v>
      </c>
    </row>
    <row r="2" spans="1:4" ht="24.95" customHeight="1" x14ac:dyDescent="0.2">
      <c r="A2" s="7" t="s">
        <v>12</v>
      </c>
      <c r="B2" s="8" t="s">
        <v>172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23523</v>
      </c>
      <c r="C3" s="12">
        <f>GovByAssemblyDistrict127General[[#This Row],[Part of Onondaga County Vote Results]]</f>
        <v>23523</v>
      </c>
      <c r="D3" s="13">
        <f>SUM(C3,C7,C8,C9)</f>
        <v>25417</v>
      </c>
    </row>
    <row r="4" spans="1:4" x14ac:dyDescent="0.2">
      <c r="A4" s="2" t="s">
        <v>14</v>
      </c>
      <c r="B4" s="3">
        <v>23848</v>
      </c>
      <c r="C4" s="12">
        <f>GovByAssemblyDistrict127General[[#This Row],[Part of Onondaga County Vote Results]]</f>
        <v>23848</v>
      </c>
      <c r="D4" s="13">
        <f>SUM(C4,C5,C10)</f>
        <v>28142</v>
      </c>
    </row>
    <row r="5" spans="1:4" x14ac:dyDescent="0.2">
      <c r="A5" s="2" t="s">
        <v>15</v>
      </c>
      <c r="B5" s="3">
        <v>3902</v>
      </c>
      <c r="C5" s="12">
        <f>GovByAssemblyDistrict127General[[#This Row],[Part of Onondaga County Vote Results]]</f>
        <v>3902</v>
      </c>
      <c r="D5" s="14"/>
    </row>
    <row r="6" spans="1:4" x14ac:dyDescent="0.2">
      <c r="A6" s="2" t="s">
        <v>6</v>
      </c>
      <c r="B6" s="3">
        <v>1298</v>
      </c>
      <c r="C6" s="12">
        <f>GovByAssemblyDistrict127General[[#This Row],[Part of Onondaga County Vote Results]]</f>
        <v>1298</v>
      </c>
      <c r="D6" s="13">
        <f>GovByAssemblyDistrict127General[[#This Row],[Total Votes by Party]]</f>
        <v>1298</v>
      </c>
    </row>
    <row r="7" spans="1:4" x14ac:dyDescent="0.2">
      <c r="A7" s="2" t="s">
        <v>7</v>
      </c>
      <c r="B7" s="3">
        <v>652</v>
      </c>
      <c r="C7" s="12">
        <f>GovByAssemblyDistrict127General[[#This Row],[Part of Onondaga County Vote Results]]</f>
        <v>652</v>
      </c>
      <c r="D7" s="14"/>
    </row>
    <row r="8" spans="1:4" x14ac:dyDescent="0.2">
      <c r="A8" s="2" t="s">
        <v>8</v>
      </c>
      <c r="B8" s="3">
        <v>903</v>
      </c>
      <c r="C8" s="12">
        <f>GovByAssemblyDistrict127General[[#This Row],[Part of Onondaga County Vote Results]]</f>
        <v>903</v>
      </c>
      <c r="D8" s="14"/>
    </row>
    <row r="9" spans="1:4" x14ac:dyDescent="0.2">
      <c r="A9" s="2" t="s">
        <v>9</v>
      </c>
      <c r="B9" s="3">
        <v>339</v>
      </c>
      <c r="C9" s="12">
        <f>GovByAssemblyDistrict127General[[#This Row],[Part of Onondaga County Vote Results]]</f>
        <v>339</v>
      </c>
      <c r="D9" s="14"/>
    </row>
    <row r="10" spans="1:4" x14ac:dyDescent="0.2">
      <c r="A10" s="2" t="s">
        <v>16</v>
      </c>
      <c r="B10" s="3">
        <v>392</v>
      </c>
      <c r="C10" s="12">
        <f>GovByAssemblyDistrict127General[[#This Row],[Part of Onondaga County Vote Results]]</f>
        <v>392</v>
      </c>
      <c r="D10" s="14"/>
    </row>
    <row r="11" spans="1:4" x14ac:dyDescent="0.2">
      <c r="A11" s="2" t="s">
        <v>10</v>
      </c>
      <c r="B11" s="3">
        <v>1791</v>
      </c>
      <c r="C11" s="12">
        <f>GovByAssemblyDistrict127General[[#This Row],[Part of Onondaga County Vote Results]]</f>
        <v>1791</v>
      </c>
      <c r="D11" s="13">
        <f>GovByAssemblyDistrict127General[[#This Row],[Total Votes by Party]]</f>
        <v>1791</v>
      </c>
    </row>
    <row r="12" spans="1:4" x14ac:dyDescent="0.2">
      <c r="A12" s="4" t="s">
        <v>11</v>
      </c>
      <c r="B12" s="5">
        <v>1751</v>
      </c>
      <c r="C12" s="12">
        <f>GovByAssemblyDistrict127General[[#This Row],[Part of Onondaga County Vote Results]]</f>
        <v>1751</v>
      </c>
      <c r="D12" s="13">
        <f>GovByAssemblyDistrict127General[[#This Row],[Total Votes by Party]]</f>
        <v>1751</v>
      </c>
    </row>
    <row r="13" spans="1:4" x14ac:dyDescent="0.2">
      <c r="A13" s="4" t="s">
        <v>0</v>
      </c>
      <c r="B13" s="5">
        <v>1359</v>
      </c>
      <c r="C13" s="12">
        <f>GovByAssemblyDistrict127General[[#This Row],[Part of Onondaga County Vote Results]]</f>
        <v>1359</v>
      </c>
      <c r="D13" s="14"/>
    </row>
    <row r="14" spans="1:4" x14ac:dyDescent="0.2">
      <c r="A14" s="4" t="s">
        <v>1</v>
      </c>
      <c r="B14" s="5">
        <v>0</v>
      </c>
      <c r="C14" s="12">
        <f>GovByAssemblyDistrict127General[[#This Row],[Part of Onondaga County Vote Results]]</f>
        <v>0</v>
      </c>
      <c r="D14" s="14"/>
    </row>
    <row r="15" spans="1:4" x14ac:dyDescent="0.2">
      <c r="A15" s="4" t="s">
        <v>2</v>
      </c>
      <c r="B15" s="5">
        <v>44</v>
      </c>
      <c r="C15" s="12">
        <f>GovByAssemblyDistrict127General[[#This Row],[Part of Onondaga County Vote Results]]</f>
        <v>44</v>
      </c>
      <c r="D15" s="14"/>
    </row>
    <row r="16" spans="1:4" hidden="1" x14ac:dyDescent="0.2">
      <c r="A16" s="4" t="s">
        <v>4</v>
      </c>
      <c r="B16" s="6">
        <f>SUBTOTAL(109,GovByAssemblyDistrict127General[Total Votes by Candidate])</f>
        <v>58399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D77AA-DC19-4BA9-91D0-BFDEC5F2397C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189</v>
      </c>
    </row>
    <row r="2" spans="1:4" ht="24.95" customHeight="1" x14ac:dyDescent="0.2">
      <c r="A2" s="7" t="s">
        <v>12</v>
      </c>
      <c r="B2" s="8" t="s">
        <v>172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23029</v>
      </c>
      <c r="C3" s="12">
        <f>GovByAssemblyDistrict128General[[#This Row],[Part of Onondaga County Vote Results]]</f>
        <v>23029</v>
      </c>
      <c r="D3" s="13">
        <f>SUM(C3,C7,C8,C9)</f>
        <v>24775</v>
      </c>
    </row>
    <row r="4" spans="1:4" x14ac:dyDescent="0.2">
      <c r="A4" s="2" t="s">
        <v>14</v>
      </c>
      <c r="B4" s="3">
        <v>12817</v>
      </c>
      <c r="C4" s="12">
        <f>GovByAssemblyDistrict128General[[#This Row],[Part of Onondaga County Vote Results]]</f>
        <v>12817</v>
      </c>
      <c r="D4" s="13">
        <f>SUM(C4,C5,C10)</f>
        <v>15418</v>
      </c>
    </row>
    <row r="5" spans="1:4" x14ac:dyDescent="0.2">
      <c r="A5" s="2" t="s">
        <v>15</v>
      </c>
      <c r="B5" s="3">
        <v>2318</v>
      </c>
      <c r="C5" s="12">
        <f>GovByAssemblyDistrict128General[[#This Row],[Part of Onondaga County Vote Results]]</f>
        <v>2318</v>
      </c>
      <c r="D5" s="14"/>
    </row>
    <row r="6" spans="1:4" x14ac:dyDescent="0.2">
      <c r="A6" s="2" t="s">
        <v>6</v>
      </c>
      <c r="B6" s="3">
        <v>1620</v>
      </c>
      <c r="C6" s="12">
        <f>GovByAssemblyDistrict128General[[#This Row],[Part of Onondaga County Vote Results]]</f>
        <v>1620</v>
      </c>
      <c r="D6" s="13">
        <f>GovByAssemblyDistrict128General[[#This Row],[Total Votes by Party]]</f>
        <v>1620</v>
      </c>
    </row>
    <row r="7" spans="1:4" x14ac:dyDescent="0.2">
      <c r="A7" s="2" t="s">
        <v>7</v>
      </c>
      <c r="B7" s="3">
        <v>704</v>
      </c>
      <c r="C7" s="12">
        <f>GovByAssemblyDistrict128General[[#This Row],[Part of Onondaga County Vote Results]]</f>
        <v>704</v>
      </c>
      <c r="D7" s="14"/>
    </row>
    <row r="8" spans="1:4" x14ac:dyDescent="0.2">
      <c r="A8" s="2" t="s">
        <v>8</v>
      </c>
      <c r="B8" s="3">
        <v>739</v>
      </c>
      <c r="C8" s="12">
        <f>GovByAssemblyDistrict128General[[#This Row],[Part of Onondaga County Vote Results]]</f>
        <v>739</v>
      </c>
      <c r="D8" s="14"/>
    </row>
    <row r="9" spans="1:4" x14ac:dyDescent="0.2">
      <c r="A9" s="2" t="s">
        <v>9</v>
      </c>
      <c r="B9" s="3">
        <v>303</v>
      </c>
      <c r="C9" s="12">
        <f>GovByAssemblyDistrict128General[[#This Row],[Part of Onondaga County Vote Results]]</f>
        <v>303</v>
      </c>
      <c r="D9" s="14"/>
    </row>
    <row r="10" spans="1:4" x14ac:dyDescent="0.2">
      <c r="A10" s="2" t="s">
        <v>16</v>
      </c>
      <c r="B10" s="3">
        <v>283</v>
      </c>
      <c r="C10" s="12">
        <f>GovByAssemblyDistrict128General[[#This Row],[Part of Onondaga County Vote Results]]</f>
        <v>283</v>
      </c>
      <c r="D10" s="14"/>
    </row>
    <row r="11" spans="1:4" x14ac:dyDescent="0.2">
      <c r="A11" s="2" t="s">
        <v>10</v>
      </c>
      <c r="B11" s="3">
        <v>997</v>
      </c>
      <c r="C11" s="12">
        <f>GovByAssemblyDistrict128General[[#This Row],[Part of Onondaga County Vote Results]]</f>
        <v>997</v>
      </c>
      <c r="D11" s="13">
        <f>GovByAssemblyDistrict128General[[#This Row],[Total Votes by Party]]</f>
        <v>997</v>
      </c>
    </row>
    <row r="12" spans="1:4" x14ac:dyDescent="0.2">
      <c r="A12" s="4" t="s">
        <v>11</v>
      </c>
      <c r="B12" s="5">
        <v>1553</v>
      </c>
      <c r="C12" s="12">
        <f>GovByAssemblyDistrict128General[[#This Row],[Part of Onondaga County Vote Results]]</f>
        <v>1553</v>
      </c>
      <c r="D12" s="13">
        <f>GovByAssemblyDistrict128General[[#This Row],[Total Votes by Party]]</f>
        <v>1553</v>
      </c>
    </row>
    <row r="13" spans="1:4" x14ac:dyDescent="0.2">
      <c r="A13" s="4" t="s">
        <v>0</v>
      </c>
      <c r="B13" s="5">
        <v>1391</v>
      </c>
      <c r="C13" s="12">
        <f>GovByAssemblyDistrict128General[[#This Row],[Part of Onondaga County Vote Results]]</f>
        <v>1391</v>
      </c>
      <c r="D13" s="14"/>
    </row>
    <row r="14" spans="1:4" x14ac:dyDescent="0.2">
      <c r="A14" s="4" t="s">
        <v>1</v>
      </c>
      <c r="B14" s="5">
        <v>0</v>
      </c>
      <c r="C14" s="12">
        <f>GovByAssemblyDistrict128General[[#This Row],[Part of Onondaga County Vote Results]]</f>
        <v>0</v>
      </c>
      <c r="D14" s="14"/>
    </row>
    <row r="15" spans="1:4" x14ac:dyDescent="0.2">
      <c r="A15" s="4" t="s">
        <v>2</v>
      </c>
      <c r="B15" s="5">
        <v>47</v>
      </c>
      <c r="C15" s="12">
        <f>GovByAssemblyDistrict128General[[#This Row],[Part of Onondaga County Vote Results]]</f>
        <v>47</v>
      </c>
      <c r="D15" s="14"/>
    </row>
    <row r="16" spans="1:4" hidden="1" x14ac:dyDescent="0.2">
      <c r="A16" s="4" t="s">
        <v>4</v>
      </c>
      <c r="B16" s="6">
        <f>SUBTOTAL(109,GovByAssemblyDistrict128General[Total Votes by Candidate])</f>
        <v>44363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C2068-1826-49BC-B80D-9BFADE7EF6A0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190</v>
      </c>
    </row>
    <row r="2" spans="1:4" ht="24.95" customHeight="1" x14ac:dyDescent="0.2">
      <c r="A2" s="7" t="s">
        <v>12</v>
      </c>
      <c r="B2" s="8" t="s">
        <v>172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18897</v>
      </c>
      <c r="C3" s="12">
        <f>GovByAssemblyDistrict129General[[#This Row],[Part of Onondaga County Vote Results]]</f>
        <v>18897</v>
      </c>
      <c r="D3" s="13">
        <f>SUM(C3,C7,C8,C9)</f>
        <v>20438</v>
      </c>
    </row>
    <row r="4" spans="1:4" x14ac:dyDescent="0.2">
      <c r="A4" s="2" t="s">
        <v>14</v>
      </c>
      <c r="B4" s="3">
        <v>10285</v>
      </c>
      <c r="C4" s="12">
        <f>GovByAssemblyDistrict129General[[#This Row],[Part of Onondaga County Vote Results]]</f>
        <v>10285</v>
      </c>
      <c r="D4" s="13">
        <f>SUM(C4,C5,C10)</f>
        <v>12502</v>
      </c>
    </row>
    <row r="5" spans="1:4" x14ac:dyDescent="0.2">
      <c r="A5" s="2" t="s">
        <v>15</v>
      </c>
      <c r="B5" s="3">
        <v>1950</v>
      </c>
      <c r="C5" s="12">
        <f>GovByAssemblyDistrict129General[[#This Row],[Part of Onondaga County Vote Results]]</f>
        <v>1950</v>
      </c>
      <c r="D5" s="14"/>
    </row>
    <row r="6" spans="1:4" x14ac:dyDescent="0.2">
      <c r="A6" s="2" t="s">
        <v>6</v>
      </c>
      <c r="B6" s="3">
        <v>1515</v>
      </c>
      <c r="C6" s="12">
        <f>GovByAssemblyDistrict129General[[#This Row],[Part of Onondaga County Vote Results]]</f>
        <v>1515</v>
      </c>
      <c r="D6" s="13">
        <f>GovByAssemblyDistrict129General[[#This Row],[Total Votes by Party]]</f>
        <v>1515</v>
      </c>
    </row>
    <row r="7" spans="1:4" x14ac:dyDescent="0.2">
      <c r="A7" s="2" t="s">
        <v>7</v>
      </c>
      <c r="B7" s="3">
        <v>667</v>
      </c>
      <c r="C7" s="12">
        <f>GovByAssemblyDistrict129General[[#This Row],[Part of Onondaga County Vote Results]]</f>
        <v>667</v>
      </c>
      <c r="D7" s="14"/>
    </row>
    <row r="8" spans="1:4" x14ac:dyDescent="0.2">
      <c r="A8" s="2" t="s">
        <v>8</v>
      </c>
      <c r="B8" s="3">
        <v>641</v>
      </c>
      <c r="C8" s="12">
        <f>GovByAssemblyDistrict129General[[#This Row],[Part of Onondaga County Vote Results]]</f>
        <v>641</v>
      </c>
      <c r="D8" s="14"/>
    </row>
    <row r="9" spans="1:4" x14ac:dyDescent="0.2">
      <c r="A9" s="2" t="s">
        <v>9</v>
      </c>
      <c r="B9" s="3">
        <v>233</v>
      </c>
      <c r="C9" s="12">
        <f>GovByAssemblyDistrict129General[[#This Row],[Part of Onondaga County Vote Results]]</f>
        <v>233</v>
      </c>
      <c r="D9" s="14"/>
    </row>
    <row r="10" spans="1:4" x14ac:dyDescent="0.2">
      <c r="A10" s="2" t="s">
        <v>16</v>
      </c>
      <c r="B10" s="3">
        <v>267</v>
      </c>
      <c r="C10" s="12">
        <f>GovByAssemblyDistrict129General[[#This Row],[Part of Onondaga County Vote Results]]</f>
        <v>267</v>
      </c>
      <c r="D10" s="14"/>
    </row>
    <row r="11" spans="1:4" x14ac:dyDescent="0.2">
      <c r="A11" s="2" t="s">
        <v>10</v>
      </c>
      <c r="B11" s="3">
        <v>995</v>
      </c>
      <c r="C11" s="12">
        <f>GovByAssemblyDistrict129General[[#This Row],[Part of Onondaga County Vote Results]]</f>
        <v>995</v>
      </c>
      <c r="D11" s="13">
        <f>GovByAssemblyDistrict129General[[#This Row],[Total Votes by Party]]</f>
        <v>995</v>
      </c>
    </row>
    <row r="12" spans="1:4" x14ac:dyDescent="0.2">
      <c r="A12" s="4" t="s">
        <v>11</v>
      </c>
      <c r="B12" s="5">
        <v>1359</v>
      </c>
      <c r="C12" s="12">
        <f>GovByAssemblyDistrict129General[[#This Row],[Part of Onondaga County Vote Results]]</f>
        <v>1359</v>
      </c>
      <c r="D12" s="13">
        <f>GovByAssemblyDistrict129General[[#This Row],[Total Votes by Party]]</f>
        <v>1359</v>
      </c>
    </row>
    <row r="13" spans="1:4" x14ac:dyDescent="0.2">
      <c r="A13" s="4" t="s">
        <v>0</v>
      </c>
      <c r="B13" s="5">
        <v>1119</v>
      </c>
      <c r="C13" s="12">
        <f>GovByAssemblyDistrict129General[[#This Row],[Part of Onondaga County Vote Results]]</f>
        <v>1119</v>
      </c>
      <c r="D13" s="14"/>
    </row>
    <row r="14" spans="1:4" x14ac:dyDescent="0.2">
      <c r="A14" s="4" t="s">
        <v>1</v>
      </c>
      <c r="B14" s="5">
        <v>0</v>
      </c>
      <c r="C14" s="12">
        <f>GovByAssemblyDistrict129General[[#This Row],[Part of Onondaga County Vote Results]]</f>
        <v>0</v>
      </c>
      <c r="D14" s="14"/>
    </row>
    <row r="15" spans="1:4" x14ac:dyDescent="0.2">
      <c r="A15" s="4" t="s">
        <v>2</v>
      </c>
      <c r="B15" s="5">
        <v>39</v>
      </c>
      <c r="C15" s="12">
        <f>GovByAssemblyDistrict129General[[#This Row],[Part of Onondaga County Vote Results]]</f>
        <v>39</v>
      </c>
      <c r="D15" s="14"/>
    </row>
    <row r="16" spans="1:4" hidden="1" x14ac:dyDescent="0.2">
      <c r="A16" s="4" t="s">
        <v>4</v>
      </c>
      <c r="B16" s="6">
        <f>SUBTOTAL(109,GovByAssemblyDistrict129General[Total Votes by Candidate])</f>
        <v>36809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836F5-1CFC-47D1-9C72-042179347E08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30</v>
      </c>
    </row>
    <row r="2" spans="1:4" ht="24.95" customHeight="1" x14ac:dyDescent="0.2">
      <c r="A2" s="7" t="s">
        <v>12</v>
      </c>
      <c r="B2" s="8" t="s">
        <v>17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29853</v>
      </c>
      <c r="C3" s="12">
        <f>GovByAssemblyDistrict13General[[#This Row],[Part of Nassau County Vote Results]]</f>
        <v>29853</v>
      </c>
      <c r="D3" s="13">
        <f>SUM(C3,C7,C8,C9)</f>
        <v>30851</v>
      </c>
    </row>
    <row r="4" spans="1:4" x14ac:dyDescent="0.2">
      <c r="A4" s="2" t="s">
        <v>14</v>
      </c>
      <c r="B4" s="3">
        <v>13687</v>
      </c>
      <c r="C4" s="12">
        <f>GovByAssemblyDistrict13General[[#This Row],[Part of Nassau County Vote Results]]</f>
        <v>13687</v>
      </c>
      <c r="D4" s="13">
        <f>SUM(C4,C5,C10)</f>
        <v>15018</v>
      </c>
    </row>
    <row r="5" spans="1:4" x14ac:dyDescent="0.2">
      <c r="A5" s="2" t="s">
        <v>15</v>
      </c>
      <c r="B5" s="3">
        <v>1195</v>
      </c>
      <c r="C5" s="12">
        <f>GovByAssemblyDistrict13General[[#This Row],[Part of Nassau County Vote Results]]</f>
        <v>1195</v>
      </c>
      <c r="D5" s="14"/>
    </row>
    <row r="6" spans="1:4" x14ac:dyDescent="0.2">
      <c r="A6" s="2" t="s">
        <v>6</v>
      </c>
      <c r="B6" s="3">
        <v>379</v>
      </c>
      <c r="C6" s="12">
        <f>GovByAssemblyDistrict13General[[#This Row],[Part of Nassau County Vote Results]]</f>
        <v>379</v>
      </c>
      <c r="D6" s="13">
        <f>GovByAssemblyDistrict13General[[#This Row],[Total Votes by Party]]</f>
        <v>379</v>
      </c>
    </row>
    <row r="7" spans="1:4" x14ac:dyDescent="0.2">
      <c r="A7" s="2" t="s">
        <v>7</v>
      </c>
      <c r="B7" s="3">
        <v>426</v>
      </c>
      <c r="C7" s="12">
        <f>GovByAssemblyDistrict13General[[#This Row],[Part of Nassau County Vote Results]]</f>
        <v>426</v>
      </c>
      <c r="D7" s="14"/>
    </row>
    <row r="8" spans="1:4" x14ac:dyDescent="0.2">
      <c r="A8" s="2" t="s">
        <v>8</v>
      </c>
      <c r="B8" s="3">
        <v>371</v>
      </c>
      <c r="C8" s="12">
        <f>GovByAssemblyDistrict13General[[#This Row],[Part of Nassau County Vote Results]]</f>
        <v>371</v>
      </c>
      <c r="D8" s="14"/>
    </row>
    <row r="9" spans="1:4" x14ac:dyDescent="0.2">
      <c r="A9" s="2" t="s">
        <v>9</v>
      </c>
      <c r="B9" s="3">
        <v>201</v>
      </c>
      <c r="C9" s="12">
        <f>GovByAssemblyDistrict13General[[#This Row],[Part of Nassau County Vote Results]]</f>
        <v>201</v>
      </c>
      <c r="D9" s="14"/>
    </row>
    <row r="10" spans="1:4" x14ac:dyDescent="0.2">
      <c r="A10" s="2" t="s">
        <v>16</v>
      </c>
      <c r="B10" s="3">
        <v>136</v>
      </c>
      <c r="C10" s="12">
        <f>GovByAssemblyDistrict13General[[#This Row],[Part of Nassau County Vote Results]]</f>
        <v>136</v>
      </c>
      <c r="D10" s="14"/>
    </row>
    <row r="11" spans="1:4" x14ac:dyDescent="0.2">
      <c r="A11" s="2" t="s">
        <v>10</v>
      </c>
      <c r="B11" s="3">
        <v>213</v>
      </c>
      <c r="C11" s="12">
        <f>GovByAssemblyDistrict13General[[#This Row],[Part of Nassau County Vote Results]]</f>
        <v>213</v>
      </c>
      <c r="D11" s="13">
        <f>GovByAssemblyDistrict13General[[#This Row],[Total Votes by Party]]</f>
        <v>213</v>
      </c>
    </row>
    <row r="12" spans="1:4" x14ac:dyDescent="0.2">
      <c r="A12" s="4" t="s">
        <v>11</v>
      </c>
      <c r="B12" s="5">
        <v>176</v>
      </c>
      <c r="C12" s="12">
        <f>GovByAssemblyDistrict13General[[#This Row],[Part of Nassau County Vote Results]]</f>
        <v>176</v>
      </c>
      <c r="D12" s="13">
        <f>GovByAssemblyDistrict13General[[#This Row],[Total Votes by Party]]</f>
        <v>176</v>
      </c>
    </row>
    <row r="13" spans="1:4" x14ac:dyDescent="0.2">
      <c r="A13" s="4" t="s">
        <v>0</v>
      </c>
      <c r="B13" s="5">
        <v>1074</v>
      </c>
      <c r="C13" s="12">
        <f>GovByAssemblyDistrict13General[[#This Row],[Part of Nassau County Vote Results]]</f>
        <v>1074</v>
      </c>
      <c r="D13" s="14"/>
    </row>
    <row r="14" spans="1:4" x14ac:dyDescent="0.2">
      <c r="A14" s="4" t="s">
        <v>1</v>
      </c>
      <c r="B14" s="5">
        <v>85</v>
      </c>
      <c r="C14" s="12">
        <f>GovByAssemblyDistrict13General[[#This Row],[Part of Nassau County Vote Results]]</f>
        <v>85</v>
      </c>
      <c r="D14" s="14"/>
    </row>
    <row r="15" spans="1:4" x14ac:dyDescent="0.2">
      <c r="A15" s="4" t="s">
        <v>2</v>
      </c>
      <c r="B15" s="5">
        <v>22</v>
      </c>
      <c r="C15" s="12">
        <f>GovByAssemblyDistrict13General[[#This Row],[Part of Nassau County Vote Results]]</f>
        <v>22</v>
      </c>
      <c r="D15" s="14"/>
    </row>
    <row r="16" spans="1:4" hidden="1" x14ac:dyDescent="0.2">
      <c r="A16" s="4" t="s">
        <v>4</v>
      </c>
      <c r="B16" s="6">
        <f>SUBTOTAL(109,GovByAssemblyDistrict13General[Total Votes by Candidate])</f>
        <v>46637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477F6-D1CE-4C34-BB0A-07515BEA4EA5}">
  <dimension ref="A1:F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6" width="20.5703125" customWidth="1"/>
    <col min="7" max="8" width="23.5703125" customWidth="1"/>
  </cols>
  <sheetData>
    <row r="1" spans="1:6" ht="24.75" customHeight="1" x14ac:dyDescent="0.2">
      <c r="A1" s="1" t="s">
        <v>191</v>
      </c>
    </row>
    <row r="2" spans="1:6" ht="25.5" x14ac:dyDescent="0.2">
      <c r="A2" s="7" t="s">
        <v>12</v>
      </c>
      <c r="B2" s="8" t="s">
        <v>192</v>
      </c>
      <c r="C2" s="8" t="s">
        <v>187</v>
      </c>
      <c r="D2" s="8" t="s">
        <v>173</v>
      </c>
      <c r="E2" s="10" t="s">
        <v>228</v>
      </c>
      <c r="F2" s="11" t="s">
        <v>5</v>
      </c>
    </row>
    <row r="3" spans="1:6" x14ac:dyDescent="0.2">
      <c r="A3" s="2" t="s">
        <v>3</v>
      </c>
      <c r="B3" s="3">
        <v>8655</v>
      </c>
      <c r="C3" s="3">
        <v>2444</v>
      </c>
      <c r="D3" s="3">
        <v>1382</v>
      </c>
      <c r="E3" s="12">
        <f>SUM(GovByAssemblyDistrict130General[[#This Row],[Wayne County Vote Results]:[Part of Oswego County Vote Results]])</f>
        <v>12481</v>
      </c>
      <c r="F3" s="13">
        <f>SUM(E3,E7,E8,E9)</f>
        <v>13373</v>
      </c>
    </row>
    <row r="4" spans="1:6" x14ac:dyDescent="0.2">
      <c r="A4" s="2" t="s">
        <v>14</v>
      </c>
      <c r="B4" s="3">
        <v>16547</v>
      </c>
      <c r="C4" s="3">
        <v>4828</v>
      </c>
      <c r="D4" s="3">
        <v>2063</v>
      </c>
      <c r="E4" s="12">
        <f>SUM(GovByAssemblyDistrict130General[[#This Row],[Wayne County Vote Results]:[Part of Oswego County Vote Results]])</f>
        <v>23438</v>
      </c>
      <c r="F4" s="13">
        <f>SUM(E4,E5,E10)</f>
        <v>27540</v>
      </c>
    </row>
    <row r="5" spans="1:6" x14ac:dyDescent="0.2">
      <c r="A5" s="2" t="s">
        <v>15</v>
      </c>
      <c r="B5" s="3">
        <v>2765</v>
      </c>
      <c r="C5" s="3">
        <v>713</v>
      </c>
      <c r="D5" s="3">
        <v>286</v>
      </c>
      <c r="E5" s="12">
        <f>SUM(GovByAssemblyDistrict130General[[#This Row],[Wayne County Vote Results]:[Part of Oswego County Vote Results]])</f>
        <v>3764</v>
      </c>
      <c r="F5" s="14"/>
    </row>
    <row r="6" spans="1:6" x14ac:dyDescent="0.2">
      <c r="A6" s="2" t="s">
        <v>6</v>
      </c>
      <c r="B6" s="3">
        <v>435</v>
      </c>
      <c r="C6" s="3">
        <v>171</v>
      </c>
      <c r="D6" s="3">
        <v>61</v>
      </c>
      <c r="E6" s="12">
        <f>SUM(GovByAssemblyDistrict130General[[#This Row],[Wayne County Vote Results]:[Part of Oswego County Vote Results]])</f>
        <v>667</v>
      </c>
      <c r="F6" s="13">
        <f>GovByAssemblyDistrict130General[[#This Row],[Total Votes by Party]]</f>
        <v>667</v>
      </c>
    </row>
    <row r="7" spans="1:6" x14ac:dyDescent="0.2">
      <c r="A7" s="2" t="s">
        <v>7</v>
      </c>
      <c r="B7" s="3">
        <v>217</v>
      </c>
      <c r="C7" s="3">
        <v>49</v>
      </c>
      <c r="D7" s="3">
        <v>36</v>
      </c>
      <c r="E7" s="12">
        <f>SUM(GovByAssemblyDistrict130General[[#This Row],[Wayne County Vote Results]:[Part of Oswego County Vote Results]])</f>
        <v>302</v>
      </c>
      <c r="F7" s="14"/>
    </row>
    <row r="8" spans="1:6" x14ac:dyDescent="0.2">
      <c r="A8" s="2" t="s">
        <v>8</v>
      </c>
      <c r="B8" s="3">
        <v>255</v>
      </c>
      <c r="C8" s="3">
        <v>111</v>
      </c>
      <c r="D8" s="3">
        <v>57</v>
      </c>
      <c r="E8" s="12">
        <f>SUM(GovByAssemblyDistrict130General[[#This Row],[Wayne County Vote Results]:[Part of Oswego County Vote Results]])</f>
        <v>423</v>
      </c>
      <c r="F8" s="14"/>
    </row>
    <row r="9" spans="1:6" x14ac:dyDescent="0.2">
      <c r="A9" s="2" t="s">
        <v>9</v>
      </c>
      <c r="B9" s="3">
        <v>114</v>
      </c>
      <c r="C9" s="3">
        <v>31</v>
      </c>
      <c r="D9" s="3">
        <v>22</v>
      </c>
      <c r="E9" s="12">
        <f>SUM(GovByAssemblyDistrict130General[[#This Row],[Wayne County Vote Results]:[Part of Oswego County Vote Results]])</f>
        <v>167</v>
      </c>
      <c r="F9" s="14"/>
    </row>
    <row r="10" spans="1:6" x14ac:dyDescent="0.2">
      <c r="A10" s="2" t="s">
        <v>16</v>
      </c>
      <c r="B10" s="3">
        <v>262</v>
      </c>
      <c r="C10" s="3">
        <v>52</v>
      </c>
      <c r="D10" s="3">
        <v>24</v>
      </c>
      <c r="E10" s="12">
        <f>SUM(GovByAssemblyDistrict130General[[#This Row],[Wayne County Vote Results]:[Part of Oswego County Vote Results]])</f>
        <v>338</v>
      </c>
      <c r="F10" s="14"/>
    </row>
    <row r="11" spans="1:6" x14ac:dyDescent="0.2">
      <c r="A11" s="2" t="s">
        <v>10</v>
      </c>
      <c r="B11" s="3">
        <v>1648</v>
      </c>
      <c r="C11" s="3">
        <v>327</v>
      </c>
      <c r="D11" s="3">
        <v>136</v>
      </c>
      <c r="E11" s="12">
        <f>SUM(GovByAssemblyDistrict130General[[#This Row],[Wayne County Vote Results]:[Part of Oswego County Vote Results]])</f>
        <v>2111</v>
      </c>
      <c r="F11" s="13">
        <f>GovByAssemblyDistrict130General[[#This Row],[Total Votes by Party]]</f>
        <v>2111</v>
      </c>
    </row>
    <row r="12" spans="1:6" x14ac:dyDescent="0.2">
      <c r="A12" s="4" t="s">
        <v>11</v>
      </c>
      <c r="B12" s="3">
        <v>461</v>
      </c>
      <c r="C12" s="3">
        <v>270</v>
      </c>
      <c r="D12" s="3">
        <v>135</v>
      </c>
      <c r="E12" s="12">
        <f>SUM(GovByAssemblyDistrict130General[[#This Row],[Wayne County Vote Results]:[Part of Oswego County Vote Results]])</f>
        <v>866</v>
      </c>
      <c r="F12" s="13">
        <f>GovByAssemblyDistrict130General[[#This Row],[Total Votes by Party]]</f>
        <v>866</v>
      </c>
    </row>
    <row r="13" spans="1:6" x14ac:dyDescent="0.2">
      <c r="A13" s="4" t="s">
        <v>0</v>
      </c>
      <c r="B13" s="3">
        <v>991</v>
      </c>
      <c r="C13" s="3">
        <v>412</v>
      </c>
      <c r="D13" s="3">
        <v>192</v>
      </c>
      <c r="E13" s="12">
        <f>SUM(GovByAssemblyDistrict130General[[#This Row],[Wayne County Vote Results]:[Part of Oswego County Vote Results]])</f>
        <v>1595</v>
      </c>
      <c r="F13" s="14"/>
    </row>
    <row r="14" spans="1:6" x14ac:dyDescent="0.2">
      <c r="A14" s="4" t="s">
        <v>1</v>
      </c>
      <c r="B14" s="3">
        <v>42</v>
      </c>
      <c r="C14" s="3">
        <v>20</v>
      </c>
      <c r="D14" s="3">
        <v>6</v>
      </c>
      <c r="E14" s="12">
        <f>SUM(GovByAssemblyDistrict130General[[#This Row],[Wayne County Vote Results]:[Part of Oswego County Vote Results]])</f>
        <v>68</v>
      </c>
      <c r="F14" s="14"/>
    </row>
    <row r="15" spans="1:6" x14ac:dyDescent="0.2">
      <c r="A15" s="4" t="s">
        <v>2</v>
      </c>
      <c r="B15" s="5">
        <v>10</v>
      </c>
      <c r="C15" s="5">
        <v>7</v>
      </c>
      <c r="D15" s="5">
        <v>1</v>
      </c>
      <c r="E15" s="12">
        <f>SUM(GovByAssemblyDistrict130General[[#This Row],[Wayne County Vote Results]:[Part of Oswego County Vote Results]])</f>
        <v>18</v>
      </c>
      <c r="F15" s="14"/>
    </row>
    <row r="16" spans="1:6" hidden="1" x14ac:dyDescent="0.2">
      <c r="A16" s="4" t="s">
        <v>4</v>
      </c>
      <c r="B16" s="6">
        <f>SUBTOTAL(109,GovByAssemblyDistrict130General[Wayne County Vote Results])</f>
        <v>32402</v>
      </c>
      <c r="C16" s="6"/>
      <c r="D16" s="6">
        <f>SUBTOTAL(109,GovByAssemblyDistrict130General[Part of Oswego County Vote Results])</f>
        <v>4401</v>
      </c>
      <c r="E16" s="6"/>
      <c r="F16" s="9"/>
    </row>
  </sheetData>
  <pageMargins left="0.7" right="0.7" top="0.75" bottom="0.75" header="0.3" footer="0.3"/>
  <tableParts count="1">
    <tablePart r:id="rId1"/>
  </tableParts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24D13-C57F-427A-8447-808875AB6CB6}">
  <dimension ref="A1:E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24.75" customHeight="1" x14ac:dyDescent="0.2">
      <c r="A1" s="1" t="s">
        <v>193</v>
      </c>
    </row>
    <row r="2" spans="1:5" ht="25.5" x14ac:dyDescent="0.2">
      <c r="A2" s="7" t="s">
        <v>12</v>
      </c>
      <c r="B2" s="8" t="s">
        <v>194</v>
      </c>
      <c r="C2" s="8" t="s">
        <v>195</v>
      </c>
      <c r="D2" s="10" t="s">
        <v>228</v>
      </c>
      <c r="E2" s="11" t="s">
        <v>5</v>
      </c>
    </row>
    <row r="3" spans="1:5" x14ac:dyDescent="0.2">
      <c r="A3" s="2" t="s">
        <v>3</v>
      </c>
      <c r="B3" s="3">
        <v>15529</v>
      </c>
      <c r="C3" s="3">
        <v>2771</v>
      </c>
      <c r="D3" s="12">
        <f>SUM(GovByAssemblyDistrict131General[[#This Row],[Ontario County Vote Results]:[Part of Seneca County Vote Results]])</f>
        <v>18300</v>
      </c>
      <c r="E3" s="13">
        <f>SUM(D3,D7,D8,D9)</f>
        <v>19622</v>
      </c>
    </row>
    <row r="4" spans="1:5" x14ac:dyDescent="0.2">
      <c r="A4" s="2" t="s">
        <v>14</v>
      </c>
      <c r="B4" s="3">
        <v>20673</v>
      </c>
      <c r="C4" s="3">
        <v>4214</v>
      </c>
      <c r="D4" s="12">
        <f>SUM(GovByAssemblyDistrict131General[[#This Row],[Ontario County Vote Results]:[Part of Seneca County Vote Results]])</f>
        <v>24887</v>
      </c>
      <c r="E4" s="13">
        <f>SUM(D4,D5,D10)</f>
        <v>28780</v>
      </c>
    </row>
    <row r="5" spans="1:5" x14ac:dyDescent="0.2">
      <c r="A5" s="2" t="s">
        <v>15</v>
      </c>
      <c r="B5" s="3">
        <v>3008</v>
      </c>
      <c r="C5" s="3">
        <v>514</v>
      </c>
      <c r="D5" s="12">
        <f>SUM(GovByAssemblyDistrict131General[[#This Row],[Ontario County Vote Results]:[Part of Seneca County Vote Results]])</f>
        <v>3522</v>
      </c>
      <c r="E5" s="14"/>
    </row>
    <row r="6" spans="1:5" x14ac:dyDescent="0.2">
      <c r="A6" s="2" t="s">
        <v>6</v>
      </c>
      <c r="B6" s="3">
        <v>690</v>
      </c>
      <c r="C6" s="3">
        <v>126</v>
      </c>
      <c r="D6" s="12">
        <f>SUM(GovByAssemblyDistrict131General[[#This Row],[Ontario County Vote Results]:[Part of Seneca County Vote Results]])</f>
        <v>816</v>
      </c>
      <c r="E6" s="13">
        <f>GovByAssemblyDistrict131General[[#This Row],[Total Votes by Party]]</f>
        <v>816</v>
      </c>
    </row>
    <row r="7" spans="1:5" x14ac:dyDescent="0.2">
      <c r="A7" s="2" t="s">
        <v>7</v>
      </c>
      <c r="B7" s="3">
        <v>364</v>
      </c>
      <c r="C7" s="3">
        <v>78</v>
      </c>
      <c r="D7" s="12">
        <f>SUM(GovByAssemblyDistrict131General[[#This Row],[Ontario County Vote Results]:[Part of Seneca County Vote Results]])</f>
        <v>442</v>
      </c>
      <c r="E7" s="14"/>
    </row>
    <row r="8" spans="1:5" x14ac:dyDescent="0.2">
      <c r="A8" s="2" t="s">
        <v>8</v>
      </c>
      <c r="B8" s="3">
        <v>482</v>
      </c>
      <c r="C8" s="3">
        <v>106</v>
      </c>
      <c r="D8" s="12">
        <f>SUM(GovByAssemblyDistrict131General[[#This Row],[Ontario County Vote Results]:[Part of Seneca County Vote Results]])</f>
        <v>588</v>
      </c>
      <c r="E8" s="14"/>
    </row>
    <row r="9" spans="1:5" x14ac:dyDescent="0.2">
      <c r="A9" s="2" t="s">
        <v>9</v>
      </c>
      <c r="B9" s="3">
        <v>243</v>
      </c>
      <c r="C9" s="3">
        <v>49</v>
      </c>
      <c r="D9" s="12">
        <f>SUM(GovByAssemblyDistrict131General[[#This Row],[Ontario County Vote Results]:[Part of Seneca County Vote Results]])</f>
        <v>292</v>
      </c>
      <c r="E9" s="14"/>
    </row>
    <row r="10" spans="1:5" x14ac:dyDescent="0.2">
      <c r="A10" s="2" t="s">
        <v>16</v>
      </c>
      <c r="B10" s="3">
        <v>294</v>
      </c>
      <c r="C10" s="3">
        <v>77</v>
      </c>
      <c r="D10" s="12">
        <f>SUM(GovByAssemblyDistrict131General[[#This Row],[Ontario County Vote Results]:[Part of Seneca County Vote Results]])</f>
        <v>371</v>
      </c>
      <c r="E10" s="14"/>
    </row>
    <row r="11" spans="1:5" x14ac:dyDescent="0.2">
      <c r="A11" s="2" t="s">
        <v>10</v>
      </c>
      <c r="B11" s="3">
        <v>1773</v>
      </c>
      <c r="C11" s="3">
        <v>371</v>
      </c>
      <c r="D11" s="12">
        <f>SUM(GovByAssemblyDistrict131General[[#This Row],[Ontario County Vote Results]:[Part of Seneca County Vote Results]])</f>
        <v>2144</v>
      </c>
      <c r="E11" s="13">
        <f>GovByAssemblyDistrict131General[[#This Row],[Total Votes by Party]]</f>
        <v>2144</v>
      </c>
    </row>
    <row r="12" spans="1:5" x14ac:dyDescent="0.2">
      <c r="A12" s="4" t="s">
        <v>11</v>
      </c>
      <c r="B12" s="3">
        <v>581</v>
      </c>
      <c r="C12" s="3">
        <v>214</v>
      </c>
      <c r="D12" s="12">
        <f>SUM(GovByAssemblyDistrict131General[[#This Row],[Ontario County Vote Results]:[Part of Seneca County Vote Results]])</f>
        <v>795</v>
      </c>
      <c r="E12" s="13">
        <f>GovByAssemblyDistrict131General[[#This Row],[Total Votes by Party]]</f>
        <v>795</v>
      </c>
    </row>
    <row r="13" spans="1:5" x14ac:dyDescent="0.2">
      <c r="A13" s="4" t="s">
        <v>0</v>
      </c>
      <c r="B13" s="3">
        <v>1419</v>
      </c>
      <c r="C13" s="3">
        <v>260</v>
      </c>
      <c r="D13" s="12">
        <f>SUM(GovByAssemblyDistrict131General[[#This Row],[Ontario County Vote Results]:[Part of Seneca County Vote Results]])</f>
        <v>1679</v>
      </c>
      <c r="E13" s="14"/>
    </row>
    <row r="14" spans="1:5" x14ac:dyDescent="0.2">
      <c r="A14" s="4" t="s">
        <v>1</v>
      </c>
      <c r="B14" s="3">
        <v>44</v>
      </c>
      <c r="C14" s="3">
        <v>20</v>
      </c>
      <c r="D14" s="12">
        <f>SUM(GovByAssemblyDistrict131General[[#This Row],[Ontario County Vote Results]:[Part of Seneca County Vote Results]])</f>
        <v>64</v>
      </c>
      <c r="E14" s="14"/>
    </row>
    <row r="15" spans="1:5" x14ac:dyDescent="0.2">
      <c r="A15" s="4" t="s">
        <v>2</v>
      </c>
      <c r="B15" s="5">
        <v>26</v>
      </c>
      <c r="C15" s="5">
        <v>4</v>
      </c>
      <c r="D15" s="12">
        <f>SUM(GovByAssemblyDistrict131General[[#This Row],[Ontario County Vote Results]:[Part of Seneca County Vote Results]])</f>
        <v>30</v>
      </c>
      <c r="E15" s="14"/>
    </row>
    <row r="16" spans="1:5" hidden="1" x14ac:dyDescent="0.2">
      <c r="A16" s="4" t="s">
        <v>4</v>
      </c>
      <c r="B16" s="6">
        <f>SUBTOTAL(109,GovByAssemblyDistrict131General[Ontario County Vote Results])</f>
        <v>45126</v>
      </c>
      <c r="C16" s="6">
        <f>SUBTOTAL(109,GovByAssemblyDistrict131General[Part of Seneca County Vote Results])</f>
        <v>8804</v>
      </c>
      <c r="D16" s="6"/>
      <c r="E16" s="9"/>
    </row>
  </sheetData>
  <pageMargins left="0.7" right="0.7" top="0.75" bottom="0.75" header="0.3" footer="0.3"/>
  <tableParts count="1">
    <tablePart r:id="rId1"/>
  </tableParts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4EC50-960C-4C7D-8BB9-6728540168E9}">
  <dimension ref="A1:H16"/>
  <sheetViews>
    <sheetView workbookViewId="0">
      <selection activeCell="D19" sqref="D19"/>
    </sheetView>
  </sheetViews>
  <sheetFormatPr defaultRowHeight="12.75" x14ac:dyDescent="0.2"/>
  <cols>
    <col min="1" max="1" width="25.5703125" customWidth="1"/>
    <col min="2" max="8" width="20.5703125" customWidth="1"/>
    <col min="9" max="10" width="23.5703125" customWidth="1"/>
  </cols>
  <sheetData>
    <row r="1" spans="1:8" ht="24.75" customHeight="1" x14ac:dyDescent="0.2">
      <c r="A1" s="1" t="s">
        <v>196</v>
      </c>
    </row>
    <row r="2" spans="1:8" ht="25.5" x14ac:dyDescent="0.2">
      <c r="A2" s="7" t="s">
        <v>12</v>
      </c>
      <c r="B2" s="8" t="s">
        <v>197</v>
      </c>
      <c r="C2" s="8" t="s">
        <v>198</v>
      </c>
      <c r="D2" s="8" t="s">
        <v>182</v>
      </c>
      <c r="E2" s="8" t="s">
        <v>195</v>
      </c>
      <c r="F2" s="8" t="s">
        <v>199</v>
      </c>
      <c r="G2" s="10" t="s">
        <v>228</v>
      </c>
      <c r="H2" s="11" t="s">
        <v>5</v>
      </c>
    </row>
    <row r="3" spans="1:8" x14ac:dyDescent="0.2">
      <c r="A3" s="2" t="s">
        <v>3</v>
      </c>
      <c r="B3" s="3">
        <v>2209</v>
      </c>
      <c r="C3" s="3">
        <v>2399</v>
      </c>
      <c r="D3" s="3">
        <v>774</v>
      </c>
      <c r="E3" s="3">
        <v>1070</v>
      </c>
      <c r="F3" s="3">
        <v>6896</v>
      </c>
      <c r="G3" s="12">
        <f>SUM(GovByAssemblyDistrict132General[[#This Row],[Schuyler County Vote Results]:[Part of Steuben County Vote Results]])</f>
        <v>13348</v>
      </c>
      <c r="H3" s="13">
        <f>SUM(G3,G7,G8,G9)</f>
        <v>14381</v>
      </c>
    </row>
    <row r="4" spans="1:8" x14ac:dyDescent="0.2">
      <c r="A4" s="2" t="s">
        <v>14</v>
      </c>
      <c r="B4" s="3">
        <v>3569</v>
      </c>
      <c r="C4" s="3">
        <v>4386</v>
      </c>
      <c r="D4" s="3">
        <v>2205</v>
      </c>
      <c r="E4" s="3">
        <v>1416</v>
      </c>
      <c r="F4" s="3">
        <v>13963</v>
      </c>
      <c r="G4" s="12">
        <f>SUM(GovByAssemblyDistrict132General[[#This Row],[Schuyler County Vote Results]:[Part of Steuben County Vote Results]])</f>
        <v>25539</v>
      </c>
      <c r="H4" s="13">
        <f>SUM(G4,G5,G10)</f>
        <v>28269</v>
      </c>
    </row>
    <row r="5" spans="1:8" x14ac:dyDescent="0.2">
      <c r="A5" s="2" t="s">
        <v>15</v>
      </c>
      <c r="B5" s="3">
        <v>404</v>
      </c>
      <c r="C5" s="3">
        <v>560</v>
      </c>
      <c r="D5" s="3">
        <v>258</v>
      </c>
      <c r="E5" s="3">
        <v>165</v>
      </c>
      <c r="F5" s="3">
        <v>1074</v>
      </c>
      <c r="G5" s="12">
        <f>SUM(GovByAssemblyDistrict132General[[#This Row],[Schuyler County Vote Results]:[Part of Steuben County Vote Results]])</f>
        <v>2461</v>
      </c>
      <c r="H5" s="14"/>
    </row>
    <row r="6" spans="1:8" x14ac:dyDescent="0.2">
      <c r="A6" s="2" t="s">
        <v>6</v>
      </c>
      <c r="B6" s="3">
        <v>125</v>
      </c>
      <c r="C6" s="3">
        <v>110</v>
      </c>
      <c r="D6" s="3">
        <v>46</v>
      </c>
      <c r="E6" s="3">
        <v>83</v>
      </c>
      <c r="F6" s="3">
        <v>317</v>
      </c>
      <c r="G6" s="12">
        <f>SUM(GovByAssemblyDistrict132General[[#This Row],[Schuyler County Vote Results]:[Part of Steuben County Vote Results]])</f>
        <v>681</v>
      </c>
      <c r="H6" s="13">
        <f>GovByAssemblyDistrict132General[[#This Row],[Total Votes by Party]]</f>
        <v>681</v>
      </c>
    </row>
    <row r="7" spans="1:8" x14ac:dyDescent="0.2">
      <c r="A7" s="2" t="s">
        <v>7</v>
      </c>
      <c r="B7" s="3">
        <v>112</v>
      </c>
      <c r="C7" s="3">
        <v>63</v>
      </c>
      <c r="D7" s="3">
        <v>21</v>
      </c>
      <c r="E7" s="3">
        <v>37</v>
      </c>
      <c r="F7" s="3">
        <v>161</v>
      </c>
      <c r="G7" s="12">
        <f>SUM(GovByAssemblyDistrict132General[[#This Row],[Schuyler County Vote Results]:[Part of Steuben County Vote Results]])</f>
        <v>394</v>
      </c>
      <c r="H7" s="14"/>
    </row>
    <row r="8" spans="1:8" x14ac:dyDescent="0.2">
      <c r="A8" s="2" t="s">
        <v>8</v>
      </c>
      <c r="B8" s="3">
        <v>62</v>
      </c>
      <c r="C8" s="3">
        <v>55</v>
      </c>
      <c r="D8" s="3">
        <v>67</v>
      </c>
      <c r="E8" s="3">
        <v>33</v>
      </c>
      <c r="F8" s="3">
        <v>224</v>
      </c>
      <c r="G8" s="12">
        <f>SUM(GovByAssemblyDistrict132General[[#This Row],[Schuyler County Vote Results]:[Part of Steuben County Vote Results]])</f>
        <v>441</v>
      </c>
      <c r="H8" s="14"/>
    </row>
    <row r="9" spans="1:8" x14ac:dyDescent="0.2">
      <c r="A9" s="2" t="s">
        <v>9</v>
      </c>
      <c r="B9" s="3">
        <v>31</v>
      </c>
      <c r="C9" s="3">
        <v>41</v>
      </c>
      <c r="D9" s="3">
        <v>13</v>
      </c>
      <c r="E9" s="3">
        <v>20</v>
      </c>
      <c r="F9" s="3">
        <v>93</v>
      </c>
      <c r="G9" s="12">
        <f>SUM(GovByAssemblyDistrict132General[[#This Row],[Schuyler County Vote Results]:[Part of Steuben County Vote Results]])</f>
        <v>198</v>
      </c>
      <c r="H9" s="14"/>
    </row>
    <row r="10" spans="1:8" x14ac:dyDescent="0.2">
      <c r="A10" s="2" t="s">
        <v>16</v>
      </c>
      <c r="B10" s="3">
        <v>51</v>
      </c>
      <c r="C10" s="3">
        <v>45</v>
      </c>
      <c r="D10" s="3">
        <v>19</v>
      </c>
      <c r="E10" s="3">
        <v>22</v>
      </c>
      <c r="F10" s="3">
        <v>132</v>
      </c>
      <c r="G10" s="12">
        <f>SUM(GovByAssemblyDistrict132General[[#This Row],[Schuyler County Vote Results]:[Part of Steuben County Vote Results]])</f>
        <v>269</v>
      </c>
      <c r="H10" s="14"/>
    </row>
    <row r="11" spans="1:8" x14ac:dyDescent="0.2">
      <c r="A11" s="2" t="s">
        <v>10</v>
      </c>
      <c r="B11" s="3">
        <v>714</v>
      </c>
      <c r="C11" s="3">
        <v>401</v>
      </c>
      <c r="D11" s="3">
        <v>249</v>
      </c>
      <c r="E11" s="3">
        <v>202</v>
      </c>
      <c r="F11" s="3">
        <v>2027</v>
      </c>
      <c r="G11" s="12">
        <f>SUM(GovByAssemblyDistrict132General[[#This Row],[Schuyler County Vote Results]:[Part of Steuben County Vote Results]])</f>
        <v>3593</v>
      </c>
      <c r="H11" s="13">
        <f>GovByAssemblyDistrict132General[[#This Row],[Total Votes by Party]]</f>
        <v>3593</v>
      </c>
    </row>
    <row r="12" spans="1:8" x14ac:dyDescent="0.2">
      <c r="A12" s="4" t="s">
        <v>11</v>
      </c>
      <c r="B12" s="3">
        <v>101</v>
      </c>
      <c r="C12" s="3">
        <v>104</v>
      </c>
      <c r="D12" s="3">
        <v>32</v>
      </c>
      <c r="E12" s="3">
        <v>83</v>
      </c>
      <c r="F12" s="3">
        <v>254</v>
      </c>
      <c r="G12" s="12">
        <f>SUM(GovByAssemblyDistrict132General[[#This Row],[Schuyler County Vote Results]:[Part of Steuben County Vote Results]])</f>
        <v>574</v>
      </c>
      <c r="H12" s="13">
        <f>GovByAssemblyDistrict132General[[#This Row],[Total Votes by Party]]</f>
        <v>574</v>
      </c>
    </row>
    <row r="13" spans="1:8" x14ac:dyDescent="0.2">
      <c r="A13" s="4" t="s">
        <v>0</v>
      </c>
      <c r="B13" s="3">
        <v>133</v>
      </c>
      <c r="C13" s="3">
        <v>85</v>
      </c>
      <c r="D13" s="3">
        <v>250</v>
      </c>
      <c r="E13" s="3">
        <v>84</v>
      </c>
      <c r="F13" s="3">
        <v>712</v>
      </c>
      <c r="G13" s="12">
        <f>SUM(GovByAssemblyDistrict132General[[#This Row],[Schuyler County Vote Results]:[Part of Steuben County Vote Results]])</f>
        <v>1264</v>
      </c>
      <c r="H13" s="14"/>
    </row>
    <row r="14" spans="1:8" x14ac:dyDescent="0.2">
      <c r="A14" s="4" t="s">
        <v>1</v>
      </c>
      <c r="B14" s="3">
        <v>15</v>
      </c>
      <c r="C14" s="3">
        <v>34</v>
      </c>
      <c r="D14" s="3">
        <v>0</v>
      </c>
      <c r="E14" s="3">
        <v>3</v>
      </c>
      <c r="F14" s="3">
        <v>52</v>
      </c>
      <c r="G14" s="12">
        <f>SUM(GovByAssemblyDistrict132General[[#This Row],[Schuyler County Vote Results]:[Part of Steuben County Vote Results]])</f>
        <v>104</v>
      </c>
      <c r="H14" s="14"/>
    </row>
    <row r="15" spans="1:8" x14ac:dyDescent="0.2">
      <c r="A15" s="4" t="s">
        <v>2</v>
      </c>
      <c r="B15" s="5">
        <v>3</v>
      </c>
      <c r="C15" s="5">
        <v>3</v>
      </c>
      <c r="D15" s="5">
        <v>1</v>
      </c>
      <c r="E15" s="5">
        <v>2</v>
      </c>
      <c r="F15" s="5">
        <v>15</v>
      </c>
      <c r="G15" s="12">
        <f>SUM(GovByAssemblyDistrict132General[[#This Row],[Schuyler County Vote Results]:[Part of Steuben County Vote Results]])</f>
        <v>24</v>
      </c>
      <c r="H15" s="14"/>
    </row>
    <row r="16" spans="1:8" hidden="1" x14ac:dyDescent="0.2">
      <c r="A16" s="4" t="s">
        <v>4</v>
      </c>
      <c r="B16" s="6">
        <f>SUBTOTAL(109,GovByAssemblyDistrict132General[Schuyler County Vote Results])</f>
        <v>7529</v>
      </c>
      <c r="C16" s="6"/>
      <c r="D16" s="6"/>
      <c r="E16" s="6"/>
      <c r="F16" s="6">
        <f>SUBTOTAL(109,GovByAssemblyDistrict132General[Part of Steuben County Vote Results])</f>
        <v>25920</v>
      </c>
      <c r="G16" s="6"/>
      <c r="H16" s="9"/>
    </row>
  </sheetData>
  <pageMargins left="0.7" right="0.7" top="0.75" bottom="0.75" header="0.3" footer="0.3"/>
  <tableParts count="1">
    <tablePart r:id="rId1"/>
  </tableParts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CCBEB-C944-45DC-AFB1-54576810EDC5}">
  <dimension ref="A1:F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6" width="20.5703125" customWidth="1"/>
    <col min="7" max="8" width="23.5703125" customWidth="1"/>
  </cols>
  <sheetData>
    <row r="1" spans="1:6" ht="24.75" customHeight="1" x14ac:dyDescent="0.2">
      <c r="A1" s="1" t="s">
        <v>200</v>
      </c>
    </row>
    <row r="2" spans="1:6" ht="25.5" x14ac:dyDescent="0.2">
      <c r="A2" s="7" t="s">
        <v>12</v>
      </c>
      <c r="B2" s="8" t="s">
        <v>201</v>
      </c>
      <c r="C2" s="8" t="s">
        <v>202</v>
      </c>
      <c r="D2" s="8" t="s">
        <v>199</v>
      </c>
      <c r="E2" s="10" t="s">
        <v>228</v>
      </c>
      <c r="F2" s="11" t="s">
        <v>5</v>
      </c>
    </row>
    <row r="3" spans="1:6" x14ac:dyDescent="0.2">
      <c r="A3" s="2" t="s">
        <v>3</v>
      </c>
      <c r="B3" s="3">
        <v>7062</v>
      </c>
      <c r="C3" s="3">
        <v>10659</v>
      </c>
      <c r="D3" s="3">
        <v>1672</v>
      </c>
      <c r="E3" s="12">
        <f>SUM(GovByAssemblyDistrict133General[[#This Row],[Livingston County Vote Results]:[Part of Steuben County Vote Results]])</f>
        <v>19393</v>
      </c>
      <c r="F3" s="13">
        <f>SUM(E3,E7,E8,E9)</f>
        <v>20786</v>
      </c>
    </row>
    <row r="4" spans="1:6" x14ac:dyDescent="0.2">
      <c r="A4" s="2" t="s">
        <v>14</v>
      </c>
      <c r="B4" s="3">
        <v>12639</v>
      </c>
      <c r="C4" s="3">
        <v>8802</v>
      </c>
      <c r="D4" s="3">
        <v>4488</v>
      </c>
      <c r="E4" s="12">
        <f>SUM(GovByAssemblyDistrict133General[[#This Row],[Livingston County Vote Results]:[Part of Steuben County Vote Results]])</f>
        <v>25929</v>
      </c>
      <c r="F4" s="13">
        <f>SUM(E4,E5,E10)</f>
        <v>30119</v>
      </c>
    </row>
    <row r="5" spans="1:6" x14ac:dyDescent="0.2">
      <c r="A5" s="2" t="s">
        <v>15</v>
      </c>
      <c r="B5" s="3">
        <v>1827</v>
      </c>
      <c r="C5" s="3">
        <v>1598</v>
      </c>
      <c r="D5" s="3">
        <v>417</v>
      </c>
      <c r="E5" s="12">
        <f>SUM(GovByAssemblyDistrict133General[[#This Row],[Livingston County Vote Results]:[Part of Steuben County Vote Results]])</f>
        <v>3842</v>
      </c>
      <c r="F5" s="14"/>
    </row>
    <row r="6" spans="1:6" x14ac:dyDescent="0.2">
      <c r="A6" s="2" t="s">
        <v>6</v>
      </c>
      <c r="B6" s="3">
        <v>415</v>
      </c>
      <c r="C6" s="3">
        <v>300</v>
      </c>
      <c r="D6" s="3">
        <v>91</v>
      </c>
      <c r="E6" s="12">
        <f>SUM(GovByAssemblyDistrict133General[[#This Row],[Livingston County Vote Results]:[Part of Steuben County Vote Results]])</f>
        <v>806</v>
      </c>
      <c r="F6" s="13">
        <f>GovByAssemblyDistrict133General[[#This Row],[Total Votes by Party]]</f>
        <v>806</v>
      </c>
    </row>
    <row r="7" spans="1:6" x14ac:dyDescent="0.2">
      <c r="A7" s="2" t="s">
        <v>7</v>
      </c>
      <c r="B7" s="3">
        <v>228</v>
      </c>
      <c r="C7" s="3">
        <v>257</v>
      </c>
      <c r="D7" s="3">
        <v>35</v>
      </c>
      <c r="E7" s="12">
        <f>SUM(GovByAssemblyDistrict133General[[#This Row],[Livingston County Vote Results]:[Part of Steuben County Vote Results]])</f>
        <v>520</v>
      </c>
      <c r="F7" s="14"/>
    </row>
    <row r="8" spans="1:6" x14ac:dyDescent="0.2">
      <c r="A8" s="2" t="s">
        <v>8</v>
      </c>
      <c r="B8" s="3">
        <v>215</v>
      </c>
      <c r="C8" s="3">
        <v>302</v>
      </c>
      <c r="D8" s="3">
        <v>52</v>
      </c>
      <c r="E8" s="12">
        <f>SUM(GovByAssemblyDistrict133General[[#This Row],[Livingston County Vote Results]:[Part of Steuben County Vote Results]])</f>
        <v>569</v>
      </c>
      <c r="F8" s="14"/>
    </row>
    <row r="9" spans="1:6" x14ac:dyDescent="0.2">
      <c r="A9" s="2" t="s">
        <v>9</v>
      </c>
      <c r="B9" s="3">
        <v>132</v>
      </c>
      <c r="C9" s="3">
        <v>154</v>
      </c>
      <c r="D9" s="3">
        <v>18</v>
      </c>
      <c r="E9" s="12">
        <f>SUM(GovByAssemblyDistrict133General[[#This Row],[Livingston County Vote Results]:[Part of Steuben County Vote Results]])</f>
        <v>304</v>
      </c>
      <c r="F9" s="14"/>
    </row>
    <row r="10" spans="1:6" x14ac:dyDescent="0.2">
      <c r="A10" s="2" t="s">
        <v>16</v>
      </c>
      <c r="B10" s="3">
        <v>161</v>
      </c>
      <c r="C10" s="3">
        <v>140</v>
      </c>
      <c r="D10" s="3">
        <v>47</v>
      </c>
      <c r="E10" s="12">
        <f>SUM(GovByAssemblyDistrict133General[[#This Row],[Livingston County Vote Results]:[Part of Steuben County Vote Results]])</f>
        <v>348</v>
      </c>
      <c r="F10" s="14"/>
    </row>
    <row r="11" spans="1:6" x14ac:dyDescent="0.2">
      <c r="A11" s="2" t="s">
        <v>10</v>
      </c>
      <c r="B11" s="3">
        <v>1339</v>
      </c>
      <c r="C11" s="3">
        <v>591</v>
      </c>
      <c r="D11" s="3">
        <v>688</v>
      </c>
      <c r="E11" s="12">
        <f>SUM(GovByAssemblyDistrict133General[[#This Row],[Livingston County Vote Results]:[Part of Steuben County Vote Results]])</f>
        <v>2618</v>
      </c>
      <c r="F11" s="13">
        <f>GovByAssemblyDistrict133General[[#This Row],[Total Votes by Party]]</f>
        <v>2618</v>
      </c>
    </row>
    <row r="12" spans="1:6" x14ac:dyDescent="0.2">
      <c r="A12" s="4" t="s">
        <v>11</v>
      </c>
      <c r="B12" s="3">
        <v>311</v>
      </c>
      <c r="C12" s="3">
        <v>418</v>
      </c>
      <c r="D12" s="3">
        <v>61</v>
      </c>
      <c r="E12" s="12">
        <f>SUM(GovByAssemblyDistrict133General[[#This Row],[Livingston County Vote Results]:[Part of Steuben County Vote Results]])</f>
        <v>790</v>
      </c>
      <c r="F12" s="13">
        <f>GovByAssemblyDistrict133General[[#This Row],[Total Votes by Party]]</f>
        <v>790</v>
      </c>
    </row>
    <row r="13" spans="1:6" x14ac:dyDescent="0.2">
      <c r="A13" s="4" t="s">
        <v>0</v>
      </c>
      <c r="B13" s="3">
        <v>405</v>
      </c>
      <c r="C13" s="3">
        <v>497</v>
      </c>
      <c r="D13" s="3">
        <v>199</v>
      </c>
      <c r="E13" s="12">
        <f>SUM(GovByAssemblyDistrict133General[[#This Row],[Livingston County Vote Results]:[Part of Steuben County Vote Results]])</f>
        <v>1101</v>
      </c>
      <c r="F13" s="14"/>
    </row>
    <row r="14" spans="1:6" x14ac:dyDescent="0.2">
      <c r="A14" s="4" t="s">
        <v>1</v>
      </c>
      <c r="B14" s="3">
        <v>55</v>
      </c>
      <c r="C14" s="3">
        <v>0</v>
      </c>
      <c r="D14" s="3">
        <v>12</v>
      </c>
      <c r="E14" s="12">
        <f>SUM(GovByAssemblyDistrict133General[[#This Row],[Livingston County Vote Results]:[Part of Steuben County Vote Results]])</f>
        <v>67</v>
      </c>
      <c r="F14" s="14"/>
    </row>
    <row r="15" spans="1:6" x14ac:dyDescent="0.2">
      <c r="A15" s="4" t="s">
        <v>2</v>
      </c>
      <c r="B15" s="5">
        <v>17</v>
      </c>
      <c r="C15" s="5">
        <v>8</v>
      </c>
      <c r="D15" s="5">
        <v>2</v>
      </c>
      <c r="E15" s="12">
        <f>SUM(GovByAssemblyDistrict133General[[#This Row],[Livingston County Vote Results]:[Part of Steuben County Vote Results]])</f>
        <v>27</v>
      </c>
      <c r="F15" s="14"/>
    </row>
    <row r="16" spans="1:6" hidden="1" x14ac:dyDescent="0.2">
      <c r="A16" s="4" t="s">
        <v>4</v>
      </c>
      <c r="B16" s="6">
        <f>SUBTOTAL(109,GovByAssemblyDistrict133General[Livingston County Vote Results])</f>
        <v>24806</v>
      </c>
      <c r="C16" s="6"/>
      <c r="D16" s="6">
        <f>SUBTOTAL(109,GovByAssemblyDistrict133General[Part of Steuben County Vote Results])</f>
        <v>7782</v>
      </c>
      <c r="E16" s="6"/>
      <c r="F16" s="9"/>
    </row>
  </sheetData>
  <pageMargins left="0.7" right="0.7" top="0.75" bottom="0.75" header="0.3" footer="0.3"/>
  <tableParts count="1">
    <tablePart r:id="rId1"/>
  </tableParts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26721-23B5-4B79-8EA5-48C3D4F7C5BB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203</v>
      </c>
    </row>
    <row r="2" spans="1:4" ht="24.95" customHeight="1" x14ac:dyDescent="0.2">
      <c r="A2" s="7" t="s">
        <v>12</v>
      </c>
      <c r="B2" s="8" t="s">
        <v>202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18345</v>
      </c>
      <c r="C3" s="12">
        <f>GovByAssemblyDistrict134General[[#This Row],[Part of Monroe County Vote Results]]</f>
        <v>18345</v>
      </c>
      <c r="D3" s="13">
        <f>SUM(C3,C7,C8,C9)</f>
        <v>19593</v>
      </c>
    </row>
    <row r="4" spans="1:4" x14ac:dyDescent="0.2">
      <c r="A4" s="2" t="s">
        <v>14</v>
      </c>
      <c r="B4" s="3">
        <v>24243</v>
      </c>
      <c r="C4" s="12">
        <f>GovByAssemblyDistrict134General[[#This Row],[Part of Monroe County Vote Results]]</f>
        <v>24243</v>
      </c>
      <c r="D4" s="13">
        <f>SUM(C4,C5,C10)</f>
        <v>29258</v>
      </c>
    </row>
    <row r="5" spans="1:4" x14ac:dyDescent="0.2">
      <c r="A5" s="2" t="s">
        <v>15</v>
      </c>
      <c r="B5" s="3">
        <v>4723</v>
      </c>
      <c r="C5" s="12">
        <f>GovByAssemblyDistrict134General[[#This Row],[Part of Monroe County Vote Results]]</f>
        <v>4723</v>
      </c>
      <c r="D5" s="14"/>
    </row>
    <row r="6" spans="1:4" x14ac:dyDescent="0.2">
      <c r="A6" s="2" t="s">
        <v>6</v>
      </c>
      <c r="B6" s="3">
        <v>516</v>
      </c>
      <c r="C6" s="12">
        <f>GovByAssemblyDistrict134General[[#This Row],[Part of Monroe County Vote Results]]</f>
        <v>516</v>
      </c>
      <c r="D6" s="13">
        <f>GovByAssemblyDistrict134General[[#This Row],[Total Votes by Party]]</f>
        <v>516</v>
      </c>
    </row>
    <row r="7" spans="1:4" x14ac:dyDescent="0.2">
      <c r="A7" s="2" t="s">
        <v>7</v>
      </c>
      <c r="B7" s="3">
        <v>432</v>
      </c>
      <c r="C7" s="12">
        <f>GovByAssemblyDistrict134General[[#This Row],[Part of Monroe County Vote Results]]</f>
        <v>432</v>
      </c>
      <c r="D7" s="14"/>
    </row>
    <row r="8" spans="1:4" x14ac:dyDescent="0.2">
      <c r="A8" s="2" t="s">
        <v>8</v>
      </c>
      <c r="B8" s="3">
        <v>575</v>
      </c>
      <c r="C8" s="12">
        <f>GovByAssemblyDistrict134General[[#This Row],[Part of Monroe County Vote Results]]</f>
        <v>575</v>
      </c>
      <c r="D8" s="14"/>
    </row>
    <row r="9" spans="1:4" x14ac:dyDescent="0.2">
      <c r="A9" s="2" t="s">
        <v>9</v>
      </c>
      <c r="B9" s="3">
        <v>241</v>
      </c>
      <c r="C9" s="12">
        <f>GovByAssemblyDistrict134General[[#This Row],[Part of Monroe County Vote Results]]</f>
        <v>241</v>
      </c>
      <c r="D9" s="14"/>
    </row>
    <row r="10" spans="1:4" x14ac:dyDescent="0.2">
      <c r="A10" s="2" t="s">
        <v>16</v>
      </c>
      <c r="B10" s="3">
        <v>292</v>
      </c>
      <c r="C10" s="12">
        <f>GovByAssemblyDistrict134General[[#This Row],[Part of Monroe County Vote Results]]</f>
        <v>292</v>
      </c>
      <c r="D10" s="14"/>
    </row>
    <row r="11" spans="1:4" x14ac:dyDescent="0.2">
      <c r="A11" s="2" t="s">
        <v>10</v>
      </c>
      <c r="B11" s="3">
        <v>2146</v>
      </c>
      <c r="C11" s="12">
        <f>GovByAssemblyDistrict134General[[#This Row],[Part of Monroe County Vote Results]]</f>
        <v>2146</v>
      </c>
      <c r="D11" s="13">
        <f>GovByAssemblyDistrict134General[[#This Row],[Total Votes by Party]]</f>
        <v>2146</v>
      </c>
    </row>
    <row r="12" spans="1:4" x14ac:dyDescent="0.2">
      <c r="A12" s="4" t="s">
        <v>11</v>
      </c>
      <c r="B12" s="5">
        <v>480</v>
      </c>
      <c r="C12" s="12">
        <f>GovByAssemblyDistrict134General[[#This Row],[Part of Monroe County Vote Results]]</f>
        <v>480</v>
      </c>
      <c r="D12" s="13">
        <f>GovByAssemblyDistrict134General[[#This Row],[Total Votes by Party]]</f>
        <v>480</v>
      </c>
    </row>
    <row r="13" spans="1:4" x14ac:dyDescent="0.2">
      <c r="A13" s="4" t="s">
        <v>0</v>
      </c>
      <c r="B13" s="5">
        <v>1373</v>
      </c>
      <c r="C13" s="12">
        <f>GovByAssemblyDistrict134General[[#This Row],[Part of Monroe County Vote Results]]</f>
        <v>1373</v>
      </c>
      <c r="D13" s="14"/>
    </row>
    <row r="14" spans="1:4" x14ac:dyDescent="0.2">
      <c r="A14" s="4" t="s">
        <v>1</v>
      </c>
      <c r="B14" s="5">
        <v>0</v>
      </c>
      <c r="C14" s="12">
        <f>GovByAssemblyDistrict134General[[#This Row],[Part of Monroe County Vote Results]]</f>
        <v>0</v>
      </c>
      <c r="D14" s="14"/>
    </row>
    <row r="15" spans="1:4" x14ac:dyDescent="0.2">
      <c r="A15" s="4" t="s">
        <v>2</v>
      </c>
      <c r="B15" s="5">
        <v>14</v>
      </c>
      <c r="C15" s="12">
        <f>GovByAssemblyDistrict134General[[#This Row],[Part of Monroe County Vote Results]]</f>
        <v>14</v>
      </c>
      <c r="D15" s="14"/>
    </row>
    <row r="16" spans="1:4" hidden="1" x14ac:dyDescent="0.2">
      <c r="A16" s="4" t="s">
        <v>4</v>
      </c>
      <c r="B16" s="6">
        <f>SUBTOTAL(109,GovByAssemblyDistrict134General[Total Votes by Candidate])</f>
        <v>51993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36304-C54D-47BD-9190-A0292B1BD64F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204</v>
      </c>
    </row>
    <row r="2" spans="1:4" ht="24.95" customHeight="1" x14ac:dyDescent="0.2">
      <c r="A2" s="7" t="s">
        <v>12</v>
      </c>
      <c r="B2" s="8" t="s">
        <v>202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27477</v>
      </c>
      <c r="C3" s="12">
        <f>GovByAssemblyDistrict135General[[#This Row],[Part of Monroe County Vote Results]]</f>
        <v>27477</v>
      </c>
      <c r="D3" s="13">
        <f>SUM(C3,C7,C8,C9)</f>
        <v>29393</v>
      </c>
    </row>
    <row r="4" spans="1:4" x14ac:dyDescent="0.2">
      <c r="A4" s="2" t="s">
        <v>14</v>
      </c>
      <c r="B4" s="3">
        <v>26611</v>
      </c>
      <c r="C4" s="12">
        <f>GovByAssemblyDistrict135General[[#This Row],[Part of Monroe County Vote Results]]</f>
        <v>26611</v>
      </c>
      <c r="D4" s="13">
        <f>SUM(C4,C5,C10)</f>
        <v>31696</v>
      </c>
    </row>
    <row r="5" spans="1:4" x14ac:dyDescent="0.2">
      <c r="A5" s="2" t="s">
        <v>15</v>
      </c>
      <c r="B5" s="3">
        <v>4707</v>
      </c>
      <c r="C5" s="12">
        <f>GovByAssemblyDistrict135General[[#This Row],[Part of Monroe County Vote Results]]</f>
        <v>4707</v>
      </c>
      <c r="D5" s="14"/>
    </row>
    <row r="6" spans="1:4" x14ac:dyDescent="0.2">
      <c r="A6" s="2" t="s">
        <v>6</v>
      </c>
      <c r="B6" s="3">
        <v>806</v>
      </c>
      <c r="C6" s="12">
        <f>GovByAssemblyDistrict135General[[#This Row],[Part of Monroe County Vote Results]]</f>
        <v>806</v>
      </c>
      <c r="D6" s="13">
        <f>GovByAssemblyDistrict135General[[#This Row],[Total Votes by Party]]</f>
        <v>806</v>
      </c>
    </row>
    <row r="7" spans="1:4" x14ac:dyDescent="0.2">
      <c r="A7" s="2" t="s">
        <v>7</v>
      </c>
      <c r="B7" s="3">
        <v>598</v>
      </c>
      <c r="C7" s="12">
        <f>GovByAssemblyDistrict135General[[#This Row],[Part of Monroe County Vote Results]]</f>
        <v>598</v>
      </c>
      <c r="D7" s="14"/>
    </row>
    <row r="8" spans="1:4" x14ac:dyDescent="0.2">
      <c r="A8" s="2" t="s">
        <v>8</v>
      </c>
      <c r="B8" s="3">
        <v>926</v>
      </c>
      <c r="C8" s="12">
        <f>GovByAssemblyDistrict135General[[#This Row],[Part of Monroe County Vote Results]]</f>
        <v>926</v>
      </c>
      <c r="D8" s="14"/>
    </row>
    <row r="9" spans="1:4" x14ac:dyDescent="0.2">
      <c r="A9" s="2" t="s">
        <v>9</v>
      </c>
      <c r="B9" s="3">
        <v>392</v>
      </c>
      <c r="C9" s="12">
        <f>GovByAssemblyDistrict135General[[#This Row],[Part of Monroe County Vote Results]]</f>
        <v>392</v>
      </c>
      <c r="D9" s="14"/>
    </row>
    <row r="10" spans="1:4" x14ac:dyDescent="0.2">
      <c r="A10" s="2" t="s">
        <v>16</v>
      </c>
      <c r="B10" s="3">
        <v>378</v>
      </c>
      <c r="C10" s="12">
        <f>GovByAssemblyDistrict135General[[#This Row],[Part of Monroe County Vote Results]]</f>
        <v>378</v>
      </c>
      <c r="D10" s="14"/>
    </row>
    <row r="11" spans="1:4" x14ac:dyDescent="0.2">
      <c r="A11" s="2" t="s">
        <v>10</v>
      </c>
      <c r="B11" s="3">
        <v>1975</v>
      </c>
      <c r="C11" s="12">
        <f>GovByAssemblyDistrict135General[[#This Row],[Part of Monroe County Vote Results]]</f>
        <v>1975</v>
      </c>
      <c r="D11" s="13">
        <f>GovByAssemblyDistrict135General[[#This Row],[Total Votes by Party]]</f>
        <v>1975</v>
      </c>
    </row>
    <row r="12" spans="1:4" x14ac:dyDescent="0.2">
      <c r="A12" s="4" t="s">
        <v>11</v>
      </c>
      <c r="B12" s="5">
        <v>969</v>
      </c>
      <c r="C12" s="12">
        <f>GovByAssemblyDistrict135General[[#This Row],[Part of Monroe County Vote Results]]</f>
        <v>969</v>
      </c>
      <c r="D12" s="13">
        <f>GovByAssemblyDistrict135General[[#This Row],[Total Votes by Party]]</f>
        <v>969</v>
      </c>
    </row>
    <row r="13" spans="1:4" x14ac:dyDescent="0.2">
      <c r="A13" s="4" t="s">
        <v>0</v>
      </c>
      <c r="B13" s="5">
        <v>1531</v>
      </c>
      <c r="C13" s="12">
        <f>GovByAssemblyDistrict135General[[#This Row],[Part of Monroe County Vote Results]]</f>
        <v>1531</v>
      </c>
      <c r="D13" s="14"/>
    </row>
    <row r="14" spans="1:4" x14ac:dyDescent="0.2">
      <c r="A14" s="4" t="s">
        <v>1</v>
      </c>
      <c r="B14" s="5">
        <v>0</v>
      </c>
      <c r="C14" s="12">
        <f>GovByAssemblyDistrict135General[[#This Row],[Part of Monroe County Vote Results]]</f>
        <v>0</v>
      </c>
      <c r="D14" s="14"/>
    </row>
    <row r="15" spans="1:4" x14ac:dyDescent="0.2">
      <c r="A15" s="4" t="s">
        <v>2</v>
      </c>
      <c r="B15" s="5">
        <v>26</v>
      </c>
      <c r="C15" s="12">
        <f>GovByAssemblyDistrict135General[[#This Row],[Part of Monroe County Vote Results]]</f>
        <v>26</v>
      </c>
      <c r="D15" s="14"/>
    </row>
    <row r="16" spans="1:4" hidden="1" x14ac:dyDescent="0.2">
      <c r="A16" s="4" t="s">
        <v>4</v>
      </c>
      <c r="B16" s="6">
        <f>SUBTOTAL(109,GovByAssemblyDistrict135General[Total Votes by Candidate])</f>
        <v>64839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62C8C-AFCA-4F97-9064-29480F9ABAFD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205</v>
      </c>
    </row>
    <row r="2" spans="1:4" ht="24.95" customHeight="1" x14ac:dyDescent="0.2">
      <c r="A2" s="7" t="s">
        <v>12</v>
      </c>
      <c r="B2" s="8" t="s">
        <v>202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28954</v>
      </c>
      <c r="C3" s="12">
        <f>GovByAssemblyDistrict136General[[#This Row],[Part of Monroe County Vote Results]]</f>
        <v>28954</v>
      </c>
      <c r="D3" s="13">
        <f>SUM(C3,C7,C8,C9)</f>
        <v>31134</v>
      </c>
    </row>
    <row r="4" spans="1:4" x14ac:dyDescent="0.2">
      <c r="A4" s="2" t="s">
        <v>14</v>
      </c>
      <c r="B4" s="3">
        <v>14072</v>
      </c>
      <c r="C4" s="12">
        <f>GovByAssemblyDistrict136General[[#This Row],[Part of Monroe County Vote Results]]</f>
        <v>14072</v>
      </c>
      <c r="D4" s="13">
        <f>SUM(C4,C5,C10)</f>
        <v>16877</v>
      </c>
    </row>
    <row r="5" spans="1:4" x14ac:dyDescent="0.2">
      <c r="A5" s="2" t="s">
        <v>15</v>
      </c>
      <c r="B5" s="3">
        <v>2485</v>
      </c>
      <c r="C5" s="12">
        <f>GovByAssemblyDistrict136General[[#This Row],[Part of Monroe County Vote Results]]</f>
        <v>2485</v>
      </c>
      <c r="D5" s="14"/>
    </row>
    <row r="6" spans="1:4" x14ac:dyDescent="0.2">
      <c r="A6" s="2" t="s">
        <v>6</v>
      </c>
      <c r="B6" s="3">
        <v>996</v>
      </c>
      <c r="C6" s="12">
        <f>GovByAssemblyDistrict136General[[#This Row],[Part of Monroe County Vote Results]]</f>
        <v>996</v>
      </c>
      <c r="D6" s="13">
        <f>GovByAssemblyDistrict136General[[#This Row],[Total Votes by Party]]</f>
        <v>996</v>
      </c>
    </row>
    <row r="7" spans="1:4" x14ac:dyDescent="0.2">
      <c r="A7" s="2" t="s">
        <v>7</v>
      </c>
      <c r="B7" s="3">
        <v>940</v>
      </c>
      <c r="C7" s="12">
        <f>GovByAssemblyDistrict136General[[#This Row],[Part of Monroe County Vote Results]]</f>
        <v>940</v>
      </c>
      <c r="D7" s="14"/>
    </row>
    <row r="8" spans="1:4" x14ac:dyDescent="0.2">
      <c r="A8" s="2" t="s">
        <v>8</v>
      </c>
      <c r="B8" s="3">
        <v>737</v>
      </c>
      <c r="C8" s="12">
        <f>GovByAssemblyDistrict136General[[#This Row],[Part of Monroe County Vote Results]]</f>
        <v>737</v>
      </c>
      <c r="D8" s="14"/>
    </row>
    <row r="9" spans="1:4" x14ac:dyDescent="0.2">
      <c r="A9" s="2" t="s">
        <v>9</v>
      </c>
      <c r="B9" s="3">
        <v>503</v>
      </c>
      <c r="C9" s="12">
        <f>GovByAssemblyDistrict136General[[#This Row],[Part of Monroe County Vote Results]]</f>
        <v>503</v>
      </c>
      <c r="D9" s="14"/>
    </row>
    <row r="10" spans="1:4" x14ac:dyDescent="0.2">
      <c r="A10" s="2" t="s">
        <v>16</v>
      </c>
      <c r="B10" s="3">
        <v>320</v>
      </c>
      <c r="C10" s="12">
        <f>GovByAssemblyDistrict136General[[#This Row],[Part of Monroe County Vote Results]]</f>
        <v>320</v>
      </c>
      <c r="D10" s="14"/>
    </row>
    <row r="11" spans="1:4" x14ac:dyDescent="0.2">
      <c r="A11" s="2" t="s">
        <v>10</v>
      </c>
      <c r="B11" s="3">
        <v>1599</v>
      </c>
      <c r="C11" s="12">
        <f>GovByAssemblyDistrict136General[[#This Row],[Part of Monroe County Vote Results]]</f>
        <v>1599</v>
      </c>
      <c r="D11" s="13">
        <f>GovByAssemblyDistrict136General[[#This Row],[Total Votes by Party]]</f>
        <v>1599</v>
      </c>
    </row>
    <row r="12" spans="1:4" x14ac:dyDescent="0.2">
      <c r="A12" s="4" t="s">
        <v>11</v>
      </c>
      <c r="B12" s="5">
        <v>932</v>
      </c>
      <c r="C12" s="12">
        <f>GovByAssemblyDistrict136General[[#This Row],[Part of Monroe County Vote Results]]</f>
        <v>932</v>
      </c>
      <c r="D12" s="13">
        <f>GovByAssemblyDistrict136General[[#This Row],[Total Votes by Party]]</f>
        <v>932</v>
      </c>
    </row>
    <row r="13" spans="1:4" x14ac:dyDescent="0.2">
      <c r="A13" s="4" t="s">
        <v>0</v>
      </c>
      <c r="B13" s="5">
        <v>1376</v>
      </c>
      <c r="C13" s="12">
        <f>GovByAssemblyDistrict136General[[#This Row],[Part of Monroe County Vote Results]]</f>
        <v>1376</v>
      </c>
      <c r="D13" s="14"/>
    </row>
    <row r="14" spans="1:4" x14ac:dyDescent="0.2">
      <c r="A14" s="4" t="s">
        <v>1</v>
      </c>
      <c r="B14" s="5">
        <v>0</v>
      </c>
      <c r="C14" s="12">
        <f>GovByAssemblyDistrict136General[[#This Row],[Part of Monroe County Vote Results]]</f>
        <v>0</v>
      </c>
      <c r="D14" s="14"/>
    </row>
    <row r="15" spans="1:4" x14ac:dyDescent="0.2">
      <c r="A15" s="4" t="s">
        <v>2</v>
      </c>
      <c r="B15" s="5">
        <v>52</v>
      </c>
      <c r="C15" s="12">
        <f>GovByAssemblyDistrict136General[[#This Row],[Part of Monroe County Vote Results]]</f>
        <v>52</v>
      </c>
      <c r="D15" s="14"/>
    </row>
    <row r="16" spans="1:4" hidden="1" x14ac:dyDescent="0.2">
      <c r="A16" s="4" t="s">
        <v>4</v>
      </c>
      <c r="B16" s="6">
        <f>SUBTOTAL(109,GovByAssemblyDistrict136General[Total Votes by Candidate])</f>
        <v>51538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DA0C7-AF34-4D02-AA8E-DB14C1DB0138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206</v>
      </c>
    </row>
    <row r="2" spans="1:4" ht="24.95" customHeight="1" x14ac:dyDescent="0.2">
      <c r="A2" s="7" t="s">
        <v>12</v>
      </c>
      <c r="B2" s="8" t="s">
        <v>202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21583</v>
      </c>
      <c r="C3" s="12">
        <f>GovByAssemblyDistrict137General[[#This Row],[Part of Monroe County Vote Results]]</f>
        <v>21583</v>
      </c>
      <c r="D3" s="13">
        <f>SUM(C3,C7,C8,C9)</f>
        <v>22526</v>
      </c>
    </row>
    <row r="4" spans="1:4" x14ac:dyDescent="0.2">
      <c r="A4" s="2" t="s">
        <v>14</v>
      </c>
      <c r="B4" s="3">
        <v>5975</v>
      </c>
      <c r="C4" s="12">
        <f>GovByAssemblyDistrict137General[[#This Row],[Part of Monroe County Vote Results]]</f>
        <v>5975</v>
      </c>
      <c r="D4" s="13">
        <f>SUM(C4,C5,C10)</f>
        <v>7160</v>
      </c>
    </row>
    <row r="5" spans="1:4" x14ac:dyDescent="0.2">
      <c r="A5" s="2" t="s">
        <v>15</v>
      </c>
      <c r="B5" s="3">
        <v>1068</v>
      </c>
      <c r="C5" s="12">
        <f>GovByAssemblyDistrict137General[[#This Row],[Part of Monroe County Vote Results]]</f>
        <v>1068</v>
      </c>
      <c r="D5" s="14"/>
    </row>
    <row r="6" spans="1:4" x14ac:dyDescent="0.2">
      <c r="A6" s="2" t="s">
        <v>6</v>
      </c>
      <c r="B6" s="3">
        <v>495</v>
      </c>
      <c r="C6" s="12">
        <f>GovByAssemblyDistrict137General[[#This Row],[Part of Monroe County Vote Results]]</f>
        <v>495</v>
      </c>
      <c r="D6" s="13">
        <f>GovByAssemblyDistrict137General[[#This Row],[Total Votes by Party]]</f>
        <v>495</v>
      </c>
    </row>
    <row r="7" spans="1:4" x14ac:dyDescent="0.2">
      <c r="A7" s="2" t="s">
        <v>7</v>
      </c>
      <c r="B7" s="3">
        <v>439</v>
      </c>
      <c r="C7" s="12">
        <f>GovByAssemblyDistrict137General[[#This Row],[Part of Monroe County Vote Results]]</f>
        <v>439</v>
      </c>
      <c r="D7" s="14"/>
    </row>
    <row r="8" spans="1:4" x14ac:dyDescent="0.2">
      <c r="A8" s="2" t="s">
        <v>8</v>
      </c>
      <c r="B8" s="3">
        <v>320</v>
      </c>
      <c r="C8" s="12">
        <f>GovByAssemblyDistrict137General[[#This Row],[Part of Monroe County Vote Results]]</f>
        <v>320</v>
      </c>
      <c r="D8" s="14"/>
    </row>
    <row r="9" spans="1:4" x14ac:dyDescent="0.2">
      <c r="A9" s="2" t="s">
        <v>9</v>
      </c>
      <c r="B9" s="3">
        <v>184</v>
      </c>
      <c r="C9" s="12">
        <f>GovByAssemblyDistrict137General[[#This Row],[Part of Monroe County Vote Results]]</f>
        <v>184</v>
      </c>
      <c r="D9" s="14"/>
    </row>
    <row r="10" spans="1:4" x14ac:dyDescent="0.2">
      <c r="A10" s="2" t="s">
        <v>16</v>
      </c>
      <c r="B10" s="3">
        <v>117</v>
      </c>
      <c r="C10" s="12">
        <f>GovByAssemblyDistrict137General[[#This Row],[Part of Monroe County Vote Results]]</f>
        <v>117</v>
      </c>
      <c r="D10" s="14"/>
    </row>
    <row r="11" spans="1:4" x14ac:dyDescent="0.2">
      <c r="A11" s="2" t="s">
        <v>10</v>
      </c>
      <c r="B11" s="3">
        <v>775</v>
      </c>
      <c r="C11" s="12">
        <f>GovByAssemblyDistrict137General[[#This Row],[Part of Monroe County Vote Results]]</f>
        <v>775</v>
      </c>
      <c r="D11" s="13">
        <f>GovByAssemblyDistrict137General[[#This Row],[Total Votes by Party]]</f>
        <v>775</v>
      </c>
    </row>
    <row r="12" spans="1:4" x14ac:dyDescent="0.2">
      <c r="A12" s="4" t="s">
        <v>11</v>
      </c>
      <c r="B12" s="5">
        <v>345</v>
      </c>
      <c r="C12" s="12">
        <f>GovByAssemblyDistrict137General[[#This Row],[Part of Monroe County Vote Results]]</f>
        <v>345</v>
      </c>
      <c r="D12" s="13">
        <f>GovByAssemblyDistrict137General[[#This Row],[Total Votes by Party]]</f>
        <v>345</v>
      </c>
    </row>
    <row r="13" spans="1:4" x14ac:dyDescent="0.2">
      <c r="A13" s="4" t="s">
        <v>0</v>
      </c>
      <c r="B13" s="5">
        <v>1240</v>
      </c>
      <c r="C13" s="12">
        <f>GovByAssemblyDistrict137General[[#This Row],[Part of Monroe County Vote Results]]</f>
        <v>1240</v>
      </c>
      <c r="D13" s="14"/>
    </row>
    <row r="14" spans="1:4" x14ac:dyDescent="0.2">
      <c r="A14" s="4" t="s">
        <v>1</v>
      </c>
      <c r="B14" s="5">
        <v>0</v>
      </c>
      <c r="C14" s="12">
        <f>GovByAssemblyDistrict137General[[#This Row],[Part of Monroe County Vote Results]]</f>
        <v>0</v>
      </c>
      <c r="D14" s="14"/>
    </row>
    <row r="15" spans="1:4" x14ac:dyDescent="0.2">
      <c r="A15" s="4" t="s">
        <v>2</v>
      </c>
      <c r="B15" s="5">
        <v>12</v>
      </c>
      <c r="C15" s="12">
        <f>GovByAssemblyDistrict137General[[#This Row],[Part of Monroe County Vote Results]]</f>
        <v>12</v>
      </c>
      <c r="D15" s="14"/>
    </row>
    <row r="16" spans="1:4" hidden="1" x14ac:dyDescent="0.2">
      <c r="A16" s="4" t="s">
        <v>4</v>
      </c>
      <c r="B16" s="6">
        <f>SUBTOTAL(109,GovByAssemblyDistrict137General[Total Votes by Candidate])</f>
        <v>31301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4942F-8D98-43B1-BB10-E558DD63E6EE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207</v>
      </c>
    </row>
    <row r="2" spans="1:4" ht="24.95" customHeight="1" x14ac:dyDescent="0.2">
      <c r="A2" s="7" t="s">
        <v>12</v>
      </c>
      <c r="B2" s="8" t="s">
        <v>202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23210</v>
      </c>
      <c r="C3" s="12">
        <f>GovByAssemblyDistrict138General[[#This Row],[Part of Monroe County Vote Results]]</f>
        <v>23210</v>
      </c>
      <c r="D3" s="13">
        <f>SUM(C3,C7,C8,C9)</f>
        <v>24981</v>
      </c>
    </row>
    <row r="4" spans="1:4" x14ac:dyDescent="0.2">
      <c r="A4" s="2" t="s">
        <v>14</v>
      </c>
      <c r="B4" s="3">
        <v>12897</v>
      </c>
      <c r="C4" s="12">
        <f>GovByAssemblyDistrict138General[[#This Row],[Part of Monroe County Vote Results]]</f>
        <v>12897</v>
      </c>
      <c r="D4" s="13">
        <f>SUM(C4,C5,C10)</f>
        <v>15672</v>
      </c>
    </row>
    <row r="5" spans="1:4" x14ac:dyDescent="0.2">
      <c r="A5" s="2" t="s">
        <v>15</v>
      </c>
      <c r="B5" s="3">
        <v>2530</v>
      </c>
      <c r="C5" s="12">
        <f>GovByAssemblyDistrict138General[[#This Row],[Part of Monroe County Vote Results]]</f>
        <v>2530</v>
      </c>
      <c r="D5" s="14"/>
    </row>
    <row r="6" spans="1:4" x14ac:dyDescent="0.2">
      <c r="A6" s="2" t="s">
        <v>6</v>
      </c>
      <c r="B6" s="3">
        <v>1109</v>
      </c>
      <c r="C6" s="12">
        <f>GovByAssemblyDistrict138General[[#This Row],[Part of Monroe County Vote Results]]</f>
        <v>1109</v>
      </c>
      <c r="D6" s="13">
        <f>GovByAssemblyDistrict138General[[#This Row],[Total Votes by Party]]</f>
        <v>1109</v>
      </c>
    </row>
    <row r="7" spans="1:4" x14ac:dyDescent="0.2">
      <c r="A7" s="2" t="s">
        <v>7</v>
      </c>
      <c r="B7" s="3">
        <v>826</v>
      </c>
      <c r="C7" s="12">
        <f>GovByAssemblyDistrict138General[[#This Row],[Part of Monroe County Vote Results]]</f>
        <v>826</v>
      </c>
      <c r="D7" s="14"/>
    </row>
    <row r="8" spans="1:4" x14ac:dyDescent="0.2">
      <c r="A8" s="2" t="s">
        <v>8</v>
      </c>
      <c r="B8" s="3">
        <v>594</v>
      </c>
      <c r="C8" s="12">
        <f>GovByAssemblyDistrict138General[[#This Row],[Part of Monroe County Vote Results]]</f>
        <v>594</v>
      </c>
      <c r="D8" s="14"/>
    </row>
    <row r="9" spans="1:4" x14ac:dyDescent="0.2">
      <c r="A9" s="2" t="s">
        <v>9</v>
      </c>
      <c r="B9" s="3">
        <v>351</v>
      </c>
      <c r="C9" s="12">
        <f>GovByAssemblyDistrict138General[[#This Row],[Part of Monroe County Vote Results]]</f>
        <v>351</v>
      </c>
      <c r="D9" s="14"/>
    </row>
    <row r="10" spans="1:4" x14ac:dyDescent="0.2">
      <c r="A10" s="2" t="s">
        <v>16</v>
      </c>
      <c r="B10" s="3">
        <v>245</v>
      </c>
      <c r="C10" s="12">
        <f>GovByAssemblyDistrict138General[[#This Row],[Part of Monroe County Vote Results]]</f>
        <v>245</v>
      </c>
      <c r="D10" s="14"/>
    </row>
    <row r="11" spans="1:4" x14ac:dyDescent="0.2">
      <c r="A11" s="2" t="s">
        <v>10</v>
      </c>
      <c r="B11" s="3">
        <v>1702</v>
      </c>
      <c r="C11" s="12">
        <f>GovByAssemblyDistrict138General[[#This Row],[Part of Monroe County Vote Results]]</f>
        <v>1702</v>
      </c>
      <c r="D11" s="13">
        <f>GovByAssemblyDistrict138General[[#This Row],[Total Votes by Party]]</f>
        <v>1702</v>
      </c>
    </row>
    <row r="12" spans="1:4" x14ac:dyDescent="0.2">
      <c r="A12" s="4" t="s">
        <v>11</v>
      </c>
      <c r="B12" s="5">
        <v>867</v>
      </c>
      <c r="C12" s="12">
        <f>GovByAssemblyDistrict138General[[#This Row],[Part of Monroe County Vote Results]]</f>
        <v>867</v>
      </c>
      <c r="D12" s="13">
        <f>GovByAssemblyDistrict138General[[#This Row],[Total Votes by Party]]</f>
        <v>867</v>
      </c>
    </row>
    <row r="13" spans="1:4" x14ac:dyDescent="0.2">
      <c r="A13" s="4" t="s">
        <v>0</v>
      </c>
      <c r="B13" s="5">
        <v>1120</v>
      </c>
      <c r="C13" s="12">
        <f>GovByAssemblyDistrict138General[[#This Row],[Part of Monroe County Vote Results]]</f>
        <v>1120</v>
      </c>
      <c r="D13" s="14"/>
    </row>
    <row r="14" spans="1:4" x14ac:dyDescent="0.2">
      <c r="A14" s="4" t="s">
        <v>1</v>
      </c>
      <c r="B14" s="5">
        <v>0</v>
      </c>
      <c r="C14" s="12">
        <f>GovByAssemblyDistrict138General[[#This Row],[Part of Monroe County Vote Results]]</f>
        <v>0</v>
      </c>
      <c r="D14" s="14"/>
    </row>
    <row r="15" spans="1:4" x14ac:dyDescent="0.2">
      <c r="A15" s="4" t="s">
        <v>2</v>
      </c>
      <c r="B15" s="5">
        <v>36</v>
      </c>
      <c r="C15" s="12">
        <f>GovByAssemblyDistrict138General[[#This Row],[Part of Monroe County Vote Results]]</f>
        <v>36</v>
      </c>
      <c r="D15" s="14"/>
    </row>
    <row r="16" spans="1:4" hidden="1" x14ac:dyDescent="0.2">
      <c r="A16" s="4" t="s">
        <v>4</v>
      </c>
      <c r="B16" s="6">
        <f>SUBTOTAL(109,GovByAssemblyDistrict138General[Total Votes by Candidate])</f>
        <v>44331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D809D-35FD-4860-90AE-4979FB448E93}">
  <dimension ref="A1:F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6" width="20.5703125" customWidth="1"/>
    <col min="7" max="8" width="23.5703125" customWidth="1"/>
  </cols>
  <sheetData>
    <row r="1" spans="1:6" ht="24.75" customHeight="1" x14ac:dyDescent="0.2">
      <c r="A1" s="1" t="s">
        <v>208</v>
      </c>
    </row>
    <row r="2" spans="1:6" ht="25.5" x14ac:dyDescent="0.2">
      <c r="A2" s="7" t="s">
        <v>12</v>
      </c>
      <c r="B2" s="8" t="s">
        <v>209</v>
      </c>
      <c r="C2" s="8" t="s">
        <v>202</v>
      </c>
      <c r="D2" s="8" t="s">
        <v>210</v>
      </c>
      <c r="E2" s="10" t="s">
        <v>228</v>
      </c>
      <c r="F2" s="11" t="s">
        <v>5</v>
      </c>
    </row>
    <row r="3" spans="1:6" x14ac:dyDescent="0.2">
      <c r="A3" s="2" t="s">
        <v>3</v>
      </c>
      <c r="B3" s="3">
        <v>5019</v>
      </c>
      <c r="C3" s="3">
        <v>3818</v>
      </c>
      <c r="D3" s="3">
        <v>2511</v>
      </c>
      <c r="E3" s="12">
        <f>SUM(GovByAssemblyDistrict139General[[#This Row],[Genesee County Vote Results]:[Part of Orleans County Vote Results]])</f>
        <v>11348</v>
      </c>
      <c r="F3" s="13">
        <f>SUM(E3,E7,E8,E9)</f>
        <v>12187</v>
      </c>
    </row>
    <row r="4" spans="1:6" x14ac:dyDescent="0.2">
      <c r="A4" s="2" t="s">
        <v>14</v>
      </c>
      <c r="B4" s="3">
        <v>11888</v>
      </c>
      <c r="C4" s="3">
        <v>6269</v>
      </c>
      <c r="D4" s="3">
        <v>6831</v>
      </c>
      <c r="E4" s="12">
        <f>SUM(GovByAssemblyDistrict139General[[#This Row],[Genesee County Vote Results]:[Part of Orleans County Vote Results]])</f>
        <v>24988</v>
      </c>
      <c r="F4" s="13">
        <f>SUM(E4,E5,E10)</f>
        <v>29596</v>
      </c>
    </row>
    <row r="5" spans="1:6" x14ac:dyDescent="0.2">
      <c r="A5" s="2" t="s">
        <v>15</v>
      </c>
      <c r="B5" s="3">
        <v>1937</v>
      </c>
      <c r="C5" s="3">
        <v>1347</v>
      </c>
      <c r="D5" s="3">
        <v>1016</v>
      </c>
      <c r="E5" s="12">
        <f>SUM(GovByAssemblyDistrict139General[[#This Row],[Genesee County Vote Results]:[Part of Orleans County Vote Results]])</f>
        <v>4300</v>
      </c>
      <c r="F5" s="14"/>
    </row>
    <row r="6" spans="1:6" x14ac:dyDescent="0.2">
      <c r="A6" s="2" t="s">
        <v>6</v>
      </c>
      <c r="B6" s="3">
        <v>270</v>
      </c>
      <c r="C6" s="3">
        <v>170</v>
      </c>
      <c r="D6" s="3">
        <v>106</v>
      </c>
      <c r="E6" s="12">
        <f>SUM(GovByAssemblyDistrict139General[[#This Row],[Genesee County Vote Results]:[Part of Orleans County Vote Results]])</f>
        <v>546</v>
      </c>
      <c r="F6" s="13">
        <f>GovByAssemblyDistrict139General[[#This Row],[Total Votes by Party]]</f>
        <v>546</v>
      </c>
    </row>
    <row r="7" spans="1:6" x14ac:dyDescent="0.2">
      <c r="A7" s="2" t="s">
        <v>7</v>
      </c>
      <c r="B7" s="3">
        <v>129</v>
      </c>
      <c r="C7" s="3">
        <v>92</v>
      </c>
      <c r="D7" s="3">
        <v>61</v>
      </c>
      <c r="E7" s="12">
        <f>SUM(GovByAssemblyDistrict139General[[#This Row],[Genesee County Vote Results]:[Part of Orleans County Vote Results]])</f>
        <v>282</v>
      </c>
      <c r="F7" s="14"/>
    </row>
    <row r="8" spans="1:6" x14ac:dyDescent="0.2">
      <c r="A8" s="2" t="s">
        <v>8</v>
      </c>
      <c r="B8" s="3">
        <v>176</v>
      </c>
      <c r="C8" s="3">
        <v>140</v>
      </c>
      <c r="D8" s="3">
        <v>73</v>
      </c>
      <c r="E8" s="12">
        <f>SUM(GovByAssemblyDistrict139General[[#This Row],[Genesee County Vote Results]:[Part of Orleans County Vote Results]])</f>
        <v>389</v>
      </c>
      <c r="F8" s="14"/>
    </row>
    <row r="9" spans="1:6" x14ac:dyDescent="0.2">
      <c r="A9" s="2" t="s">
        <v>9</v>
      </c>
      <c r="B9" s="3">
        <v>76</v>
      </c>
      <c r="C9" s="3">
        <v>61</v>
      </c>
      <c r="D9" s="3">
        <v>31</v>
      </c>
      <c r="E9" s="12">
        <f>SUM(GovByAssemblyDistrict139General[[#This Row],[Genesee County Vote Results]:[Part of Orleans County Vote Results]])</f>
        <v>168</v>
      </c>
      <c r="F9" s="14"/>
    </row>
    <row r="10" spans="1:6" x14ac:dyDescent="0.2">
      <c r="A10" s="2" t="s">
        <v>16</v>
      </c>
      <c r="B10" s="3">
        <v>142</v>
      </c>
      <c r="C10" s="3">
        <v>90</v>
      </c>
      <c r="D10" s="3">
        <v>76</v>
      </c>
      <c r="E10" s="12">
        <f>SUM(GovByAssemblyDistrict139General[[#This Row],[Genesee County Vote Results]:[Part of Orleans County Vote Results]])</f>
        <v>308</v>
      </c>
      <c r="F10" s="14"/>
    </row>
    <row r="11" spans="1:6" x14ac:dyDescent="0.2">
      <c r="A11" s="2" t="s">
        <v>10</v>
      </c>
      <c r="B11" s="3">
        <v>1242</v>
      </c>
      <c r="C11" s="3">
        <v>752</v>
      </c>
      <c r="D11" s="3">
        <v>631</v>
      </c>
      <c r="E11" s="12">
        <f>SUM(GovByAssemblyDistrict139General[[#This Row],[Genesee County Vote Results]:[Part of Orleans County Vote Results]])</f>
        <v>2625</v>
      </c>
      <c r="F11" s="13">
        <f>GovByAssemblyDistrict139General[[#This Row],[Total Votes by Party]]</f>
        <v>2625</v>
      </c>
    </row>
    <row r="12" spans="1:6" x14ac:dyDescent="0.2">
      <c r="A12" s="4" t="s">
        <v>11</v>
      </c>
      <c r="B12" s="3">
        <v>195</v>
      </c>
      <c r="C12" s="3">
        <v>150</v>
      </c>
      <c r="D12" s="3">
        <v>94</v>
      </c>
      <c r="E12" s="12">
        <f>SUM(GovByAssemblyDistrict139General[[#This Row],[Genesee County Vote Results]:[Part of Orleans County Vote Results]])</f>
        <v>439</v>
      </c>
      <c r="F12" s="13">
        <f>GovByAssemblyDistrict139General[[#This Row],[Total Votes by Party]]</f>
        <v>439</v>
      </c>
    </row>
    <row r="13" spans="1:6" x14ac:dyDescent="0.2">
      <c r="A13" s="4" t="s">
        <v>0</v>
      </c>
      <c r="B13" s="3">
        <v>466</v>
      </c>
      <c r="C13" s="3">
        <v>247</v>
      </c>
      <c r="D13" s="3">
        <v>177</v>
      </c>
      <c r="E13" s="12">
        <f>SUM(GovByAssemblyDistrict139General[[#This Row],[Genesee County Vote Results]:[Part of Orleans County Vote Results]])</f>
        <v>890</v>
      </c>
      <c r="F13" s="14"/>
    </row>
    <row r="14" spans="1:6" x14ac:dyDescent="0.2">
      <c r="A14" s="4" t="s">
        <v>1</v>
      </c>
      <c r="B14" s="3">
        <v>10</v>
      </c>
      <c r="C14" s="3">
        <v>0</v>
      </c>
      <c r="D14" s="3">
        <v>21</v>
      </c>
      <c r="E14" s="12">
        <f>SUM(GovByAssemblyDistrict139General[[#This Row],[Genesee County Vote Results]:[Part of Orleans County Vote Results]])</f>
        <v>31</v>
      </c>
      <c r="F14" s="14"/>
    </row>
    <row r="15" spans="1:6" x14ac:dyDescent="0.2">
      <c r="A15" s="4" t="s">
        <v>2</v>
      </c>
      <c r="B15" s="5">
        <v>7</v>
      </c>
      <c r="C15" s="5">
        <v>6</v>
      </c>
      <c r="D15" s="5">
        <v>3</v>
      </c>
      <c r="E15" s="12">
        <f>SUM(GovByAssemblyDistrict139General[[#This Row],[Genesee County Vote Results]:[Part of Orleans County Vote Results]])</f>
        <v>16</v>
      </c>
      <c r="F15" s="14"/>
    </row>
    <row r="16" spans="1:6" hidden="1" x14ac:dyDescent="0.2">
      <c r="A16" s="4" t="s">
        <v>4</v>
      </c>
      <c r="B16" s="6">
        <f>SUBTOTAL(109,GovByAssemblyDistrict139General[Genesee County Vote Results])</f>
        <v>21557</v>
      </c>
      <c r="C16" s="6"/>
      <c r="D16" s="6">
        <f>SUBTOTAL(109,GovByAssemblyDistrict139General[Part of Orleans County Vote Results])</f>
        <v>11631</v>
      </c>
      <c r="E16" s="6"/>
      <c r="F16" s="9"/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C7DA1-2643-4F59-872E-2884ACBF2A4D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31</v>
      </c>
    </row>
    <row r="2" spans="1:4" ht="24.95" customHeight="1" x14ac:dyDescent="0.2">
      <c r="A2" s="7" t="s">
        <v>12</v>
      </c>
      <c r="B2" s="8" t="s">
        <v>17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25130</v>
      </c>
      <c r="C3" s="12">
        <f>GovByAssemblyDistrict14General[[#This Row],[Part of Nassau County Vote Results]]</f>
        <v>25130</v>
      </c>
      <c r="D3" s="13">
        <f>SUM(C3,C7,C8,C9)</f>
        <v>26304</v>
      </c>
    </row>
    <row r="4" spans="1:4" x14ac:dyDescent="0.2">
      <c r="A4" s="2" t="s">
        <v>14</v>
      </c>
      <c r="B4" s="3">
        <v>25055</v>
      </c>
      <c r="C4" s="12">
        <f>GovByAssemblyDistrict14General[[#This Row],[Part of Nassau County Vote Results]]</f>
        <v>25055</v>
      </c>
      <c r="D4" s="13">
        <f>SUM(C4,C5,C10)</f>
        <v>27591</v>
      </c>
    </row>
    <row r="5" spans="1:4" x14ac:dyDescent="0.2">
      <c r="A5" s="2" t="s">
        <v>15</v>
      </c>
      <c r="B5" s="3">
        <v>2362</v>
      </c>
      <c r="C5" s="12">
        <f>GovByAssemblyDistrict14General[[#This Row],[Part of Nassau County Vote Results]]</f>
        <v>2362</v>
      </c>
      <c r="D5" s="14"/>
    </row>
    <row r="6" spans="1:4" x14ac:dyDescent="0.2">
      <c r="A6" s="2" t="s">
        <v>6</v>
      </c>
      <c r="B6" s="3">
        <v>416</v>
      </c>
      <c r="C6" s="12">
        <f>GovByAssemblyDistrict14General[[#This Row],[Part of Nassau County Vote Results]]</f>
        <v>416</v>
      </c>
      <c r="D6" s="13">
        <f>GovByAssemblyDistrict14General[[#This Row],[Total Votes by Party]]</f>
        <v>416</v>
      </c>
    </row>
    <row r="7" spans="1:4" x14ac:dyDescent="0.2">
      <c r="A7" s="2" t="s">
        <v>7</v>
      </c>
      <c r="B7" s="3">
        <v>513</v>
      </c>
      <c r="C7" s="12">
        <f>GovByAssemblyDistrict14General[[#This Row],[Part of Nassau County Vote Results]]</f>
        <v>513</v>
      </c>
      <c r="D7" s="14"/>
    </row>
    <row r="8" spans="1:4" x14ac:dyDescent="0.2">
      <c r="A8" s="2" t="s">
        <v>8</v>
      </c>
      <c r="B8" s="3">
        <v>403</v>
      </c>
      <c r="C8" s="12">
        <f>GovByAssemblyDistrict14General[[#This Row],[Part of Nassau County Vote Results]]</f>
        <v>403</v>
      </c>
      <c r="D8" s="14"/>
    </row>
    <row r="9" spans="1:4" x14ac:dyDescent="0.2">
      <c r="A9" s="2" t="s">
        <v>9</v>
      </c>
      <c r="B9" s="3">
        <v>258</v>
      </c>
      <c r="C9" s="12">
        <f>GovByAssemblyDistrict14General[[#This Row],[Part of Nassau County Vote Results]]</f>
        <v>258</v>
      </c>
      <c r="D9" s="14"/>
    </row>
    <row r="10" spans="1:4" x14ac:dyDescent="0.2">
      <c r="A10" s="2" t="s">
        <v>16</v>
      </c>
      <c r="B10" s="3">
        <v>174</v>
      </c>
      <c r="C10" s="12">
        <f>GovByAssemblyDistrict14General[[#This Row],[Part of Nassau County Vote Results]]</f>
        <v>174</v>
      </c>
      <c r="D10" s="14"/>
    </row>
    <row r="11" spans="1:4" x14ac:dyDescent="0.2">
      <c r="A11" s="2" t="s">
        <v>10</v>
      </c>
      <c r="B11" s="3">
        <v>433</v>
      </c>
      <c r="C11" s="12">
        <f>GovByAssemblyDistrict14General[[#This Row],[Part of Nassau County Vote Results]]</f>
        <v>433</v>
      </c>
      <c r="D11" s="13">
        <f>GovByAssemblyDistrict14General[[#This Row],[Total Votes by Party]]</f>
        <v>433</v>
      </c>
    </row>
    <row r="12" spans="1:4" x14ac:dyDescent="0.2">
      <c r="A12" s="4" t="s">
        <v>11</v>
      </c>
      <c r="B12" s="5">
        <v>253</v>
      </c>
      <c r="C12" s="12">
        <f>GovByAssemblyDistrict14General[[#This Row],[Part of Nassau County Vote Results]]</f>
        <v>253</v>
      </c>
      <c r="D12" s="13">
        <f>GovByAssemblyDistrict14General[[#This Row],[Total Votes by Party]]</f>
        <v>253</v>
      </c>
    </row>
    <row r="13" spans="1:4" x14ac:dyDescent="0.2">
      <c r="A13" s="4" t="s">
        <v>0</v>
      </c>
      <c r="B13" s="5">
        <v>1197</v>
      </c>
      <c r="C13" s="12">
        <f>GovByAssemblyDistrict14General[[#This Row],[Part of Nassau County Vote Results]]</f>
        <v>1197</v>
      </c>
      <c r="D13" s="14"/>
    </row>
    <row r="14" spans="1:4" x14ac:dyDescent="0.2">
      <c r="A14" s="4" t="s">
        <v>1</v>
      </c>
      <c r="B14" s="5">
        <v>99</v>
      </c>
      <c r="C14" s="12">
        <f>GovByAssemblyDistrict14General[[#This Row],[Part of Nassau County Vote Results]]</f>
        <v>99</v>
      </c>
      <c r="D14" s="14"/>
    </row>
    <row r="15" spans="1:4" x14ac:dyDescent="0.2">
      <c r="A15" s="4" t="s">
        <v>2</v>
      </c>
      <c r="B15" s="5">
        <v>35</v>
      </c>
      <c r="C15" s="12">
        <f>GovByAssemblyDistrict14General[[#This Row],[Part of Nassau County Vote Results]]</f>
        <v>35</v>
      </c>
      <c r="D15" s="14"/>
    </row>
    <row r="16" spans="1:4" hidden="1" x14ac:dyDescent="0.2">
      <c r="A16" s="4" t="s">
        <v>4</v>
      </c>
      <c r="B16" s="6">
        <f>SUBTOTAL(109,GovByAssemblyDistrict14General[Total Votes by Candidate])</f>
        <v>54997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50A78-DD49-49ED-B5DA-E24900088CC1}">
  <dimension ref="A1:E16"/>
  <sheetViews>
    <sheetView workbookViewId="0">
      <selection activeCell="C18" sqref="C18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24.75" customHeight="1" x14ac:dyDescent="0.2">
      <c r="A1" s="1" t="s">
        <v>211</v>
      </c>
    </row>
    <row r="2" spans="1:5" ht="25.5" x14ac:dyDescent="0.2">
      <c r="A2" s="7" t="s">
        <v>12</v>
      </c>
      <c r="B2" s="8" t="s">
        <v>212</v>
      </c>
      <c r="C2" s="8" t="s">
        <v>213</v>
      </c>
      <c r="D2" s="10" t="s">
        <v>228</v>
      </c>
      <c r="E2" s="11" t="s">
        <v>5</v>
      </c>
    </row>
    <row r="3" spans="1:5" x14ac:dyDescent="0.2">
      <c r="A3" s="2" t="s">
        <v>3</v>
      </c>
      <c r="B3" s="3">
        <v>19126</v>
      </c>
      <c r="C3" s="3">
        <v>2672</v>
      </c>
      <c r="D3" s="12">
        <f>SUM(GovByAssemblyDistrict140General[[#This Row],[Part of Erie County Vote Results]:[Part of Niagara County Vote Results]])</f>
        <v>21798</v>
      </c>
      <c r="E3" s="13">
        <f>SUM(D3,D7,D8,D9)</f>
        <v>23672</v>
      </c>
    </row>
    <row r="4" spans="1:5" x14ac:dyDescent="0.2">
      <c r="A4" s="2" t="s">
        <v>14</v>
      </c>
      <c r="B4" s="3">
        <v>13079</v>
      </c>
      <c r="C4" s="3">
        <v>2820</v>
      </c>
      <c r="D4" s="12">
        <f>SUM(GovByAssemblyDistrict140General[[#This Row],[Part of Erie County Vote Results]:[Part of Niagara County Vote Results]])</f>
        <v>15899</v>
      </c>
      <c r="E4" s="13">
        <f>SUM(D4,D5,D10)</f>
        <v>19744</v>
      </c>
    </row>
    <row r="5" spans="1:5" x14ac:dyDescent="0.2">
      <c r="A5" s="2" t="s">
        <v>15</v>
      </c>
      <c r="B5" s="3">
        <v>2871</v>
      </c>
      <c r="C5" s="3">
        <v>709</v>
      </c>
      <c r="D5" s="12">
        <f>SUM(GovByAssemblyDistrict140General[[#This Row],[Part of Erie County Vote Results]:[Part of Niagara County Vote Results]])</f>
        <v>3580</v>
      </c>
      <c r="E5" s="14"/>
    </row>
    <row r="6" spans="1:5" x14ac:dyDescent="0.2">
      <c r="A6" s="2" t="s">
        <v>6</v>
      </c>
      <c r="B6" s="3">
        <v>830</v>
      </c>
      <c r="C6" s="3">
        <v>114</v>
      </c>
      <c r="D6" s="12">
        <f>SUM(GovByAssemblyDistrict140General[[#This Row],[Part of Erie County Vote Results]:[Part of Niagara County Vote Results]])</f>
        <v>944</v>
      </c>
      <c r="E6" s="13">
        <f>GovByAssemblyDistrict140General[[#This Row],[Total Votes by Party]]</f>
        <v>944</v>
      </c>
    </row>
    <row r="7" spans="1:5" x14ac:dyDescent="0.2">
      <c r="A7" s="2" t="s">
        <v>7</v>
      </c>
      <c r="B7" s="3">
        <v>753</v>
      </c>
      <c r="C7" s="3">
        <v>83</v>
      </c>
      <c r="D7" s="12">
        <f>SUM(GovByAssemblyDistrict140General[[#This Row],[Part of Erie County Vote Results]:[Part of Niagara County Vote Results]])</f>
        <v>836</v>
      </c>
      <c r="E7" s="14"/>
    </row>
    <row r="8" spans="1:5" x14ac:dyDescent="0.2">
      <c r="A8" s="2" t="s">
        <v>8</v>
      </c>
      <c r="B8" s="3">
        <v>594</v>
      </c>
      <c r="C8" s="3">
        <v>120</v>
      </c>
      <c r="D8" s="12">
        <f>SUM(GovByAssemblyDistrict140General[[#This Row],[Part of Erie County Vote Results]:[Part of Niagara County Vote Results]])</f>
        <v>714</v>
      </c>
      <c r="E8" s="14"/>
    </row>
    <row r="9" spans="1:5" x14ac:dyDescent="0.2">
      <c r="A9" s="2" t="s">
        <v>9</v>
      </c>
      <c r="B9" s="3">
        <v>282</v>
      </c>
      <c r="C9" s="3">
        <v>42</v>
      </c>
      <c r="D9" s="12">
        <f>SUM(GovByAssemblyDistrict140General[[#This Row],[Part of Erie County Vote Results]:[Part of Niagara County Vote Results]])</f>
        <v>324</v>
      </c>
      <c r="E9" s="14"/>
    </row>
    <row r="10" spans="1:5" x14ac:dyDescent="0.2">
      <c r="A10" s="2" t="s">
        <v>16</v>
      </c>
      <c r="B10" s="3">
        <v>225</v>
      </c>
      <c r="C10" s="3">
        <v>40</v>
      </c>
      <c r="D10" s="12">
        <f>SUM(GovByAssemblyDistrict140General[[#This Row],[Part of Erie County Vote Results]:[Part of Niagara County Vote Results]])</f>
        <v>265</v>
      </c>
      <c r="E10" s="14"/>
    </row>
    <row r="11" spans="1:5" x14ac:dyDescent="0.2">
      <c r="A11" s="2" t="s">
        <v>10</v>
      </c>
      <c r="B11" s="3">
        <v>673</v>
      </c>
      <c r="C11" s="3">
        <v>153</v>
      </c>
      <c r="D11" s="12">
        <f>SUM(GovByAssemblyDistrict140General[[#This Row],[Part of Erie County Vote Results]:[Part of Niagara County Vote Results]])</f>
        <v>826</v>
      </c>
      <c r="E11" s="13">
        <f>GovByAssemblyDistrict140General[[#This Row],[Total Votes by Party]]</f>
        <v>826</v>
      </c>
    </row>
    <row r="12" spans="1:5" x14ac:dyDescent="0.2">
      <c r="A12" s="4" t="s">
        <v>11</v>
      </c>
      <c r="B12" s="3">
        <v>366</v>
      </c>
      <c r="C12" s="3">
        <v>61</v>
      </c>
      <c r="D12" s="12">
        <f>SUM(GovByAssemblyDistrict140General[[#This Row],[Part of Erie County Vote Results]:[Part of Niagara County Vote Results]])</f>
        <v>427</v>
      </c>
      <c r="E12" s="13">
        <f>GovByAssemblyDistrict140General[[#This Row],[Total Votes by Party]]</f>
        <v>427</v>
      </c>
    </row>
    <row r="13" spans="1:5" x14ac:dyDescent="0.2">
      <c r="A13" s="4" t="s">
        <v>0</v>
      </c>
      <c r="B13" s="3">
        <v>563</v>
      </c>
      <c r="C13" s="3">
        <v>108</v>
      </c>
      <c r="D13" s="12">
        <f>SUM(GovByAssemblyDistrict140General[[#This Row],[Part of Erie County Vote Results]:[Part of Niagara County Vote Results]])</f>
        <v>671</v>
      </c>
      <c r="E13" s="14"/>
    </row>
    <row r="14" spans="1:5" x14ac:dyDescent="0.2">
      <c r="A14" s="4" t="s">
        <v>1</v>
      </c>
      <c r="B14" s="3">
        <v>0</v>
      </c>
      <c r="C14" s="3">
        <v>0</v>
      </c>
      <c r="D14" s="12">
        <f>SUM(GovByAssemblyDistrict140General[[#This Row],[Part of Erie County Vote Results]:[Part of Niagara County Vote Results]])</f>
        <v>0</v>
      </c>
      <c r="E14" s="14"/>
    </row>
    <row r="15" spans="1:5" x14ac:dyDescent="0.2">
      <c r="A15" s="4" t="s">
        <v>2</v>
      </c>
      <c r="B15" s="5">
        <v>0</v>
      </c>
      <c r="C15" s="5">
        <v>6</v>
      </c>
      <c r="D15" s="12">
        <f>SUM(GovByAssemblyDistrict140General[[#This Row],[Part of Erie County Vote Results]:[Part of Niagara County Vote Results]])</f>
        <v>6</v>
      </c>
      <c r="E15" s="14"/>
    </row>
    <row r="16" spans="1:5" hidden="1" x14ac:dyDescent="0.2">
      <c r="A16" s="4" t="s">
        <v>4</v>
      </c>
      <c r="B16" s="6">
        <f>SUBTOTAL(109,GovByAssemblyDistrict140General[Part of Erie County Vote Results])</f>
        <v>39362</v>
      </c>
      <c r="C16" s="6">
        <f>SUBTOTAL(109,GovByAssemblyDistrict140General[Part of Niagara County Vote Results])</f>
        <v>6928</v>
      </c>
      <c r="D16" s="6"/>
      <c r="E16" s="9"/>
    </row>
  </sheetData>
  <pageMargins left="0.7" right="0.7" top="0.75" bottom="0.75" header="0.3" footer="0.3"/>
  <tableParts count="1">
    <tablePart r:id="rId1"/>
  </tableParts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95406-3F18-46FC-9501-4AEA0BA1B488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214</v>
      </c>
    </row>
    <row r="2" spans="1:4" ht="24.95" customHeight="1" x14ac:dyDescent="0.2">
      <c r="A2" s="7" t="s">
        <v>12</v>
      </c>
      <c r="B2" s="8" t="s">
        <v>212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29587</v>
      </c>
      <c r="C3" s="12">
        <f>GovByAssemblyDistrict141General[[#This Row],[Part of Erie County Vote Results]]</f>
        <v>29587</v>
      </c>
      <c r="D3" s="13">
        <f>SUM(C3,C7,C8,C9)</f>
        <v>30797</v>
      </c>
    </row>
    <row r="4" spans="1:4" x14ac:dyDescent="0.2">
      <c r="A4" s="2" t="s">
        <v>14</v>
      </c>
      <c r="B4" s="3">
        <v>2857</v>
      </c>
      <c r="C4" s="12">
        <f>GovByAssemblyDistrict141General[[#This Row],[Part of Erie County Vote Results]]</f>
        <v>2857</v>
      </c>
      <c r="D4" s="13">
        <f>SUM(C4,C5,C10)</f>
        <v>3609</v>
      </c>
    </row>
    <row r="5" spans="1:4" x14ac:dyDescent="0.2">
      <c r="A5" s="2" t="s">
        <v>15</v>
      </c>
      <c r="B5" s="3">
        <v>661</v>
      </c>
      <c r="C5" s="12">
        <f>GovByAssemblyDistrict141General[[#This Row],[Part of Erie County Vote Results]]</f>
        <v>661</v>
      </c>
      <c r="D5" s="14"/>
    </row>
    <row r="6" spans="1:4" x14ac:dyDescent="0.2">
      <c r="A6" s="2" t="s">
        <v>6</v>
      </c>
      <c r="B6" s="3">
        <v>700</v>
      </c>
      <c r="C6" s="12">
        <f>GovByAssemblyDistrict141General[[#This Row],[Part of Erie County Vote Results]]</f>
        <v>700</v>
      </c>
      <c r="D6" s="13">
        <f>GovByAssemblyDistrict141General[[#This Row],[Total Votes by Party]]</f>
        <v>700</v>
      </c>
    </row>
    <row r="7" spans="1:4" x14ac:dyDescent="0.2">
      <c r="A7" s="2" t="s">
        <v>7</v>
      </c>
      <c r="B7" s="3">
        <v>652</v>
      </c>
      <c r="C7" s="12">
        <f>GovByAssemblyDistrict141General[[#This Row],[Part of Erie County Vote Results]]</f>
        <v>652</v>
      </c>
      <c r="D7" s="14"/>
    </row>
    <row r="8" spans="1:4" x14ac:dyDescent="0.2">
      <c r="A8" s="2" t="s">
        <v>8</v>
      </c>
      <c r="B8" s="3">
        <v>325</v>
      </c>
      <c r="C8" s="12">
        <f>GovByAssemblyDistrict141General[[#This Row],[Part of Erie County Vote Results]]</f>
        <v>325</v>
      </c>
      <c r="D8" s="14"/>
    </row>
    <row r="9" spans="1:4" x14ac:dyDescent="0.2">
      <c r="A9" s="2" t="s">
        <v>9</v>
      </c>
      <c r="B9" s="3">
        <v>233</v>
      </c>
      <c r="C9" s="12">
        <f>GovByAssemblyDistrict141General[[#This Row],[Part of Erie County Vote Results]]</f>
        <v>233</v>
      </c>
      <c r="D9" s="14"/>
    </row>
    <row r="10" spans="1:4" x14ac:dyDescent="0.2">
      <c r="A10" s="2" t="s">
        <v>16</v>
      </c>
      <c r="B10" s="3">
        <v>91</v>
      </c>
      <c r="C10" s="12">
        <f>GovByAssemblyDistrict141General[[#This Row],[Part of Erie County Vote Results]]</f>
        <v>91</v>
      </c>
      <c r="D10" s="14"/>
    </row>
    <row r="11" spans="1:4" x14ac:dyDescent="0.2">
      <c r="A11" s="2" t="s">
        <v>10</v>
      </c>
      <c r="B11" s="3">
        <v>264</v>
      </c>
      <c r="C11" s="12">
        <f>GovByAssemblyDistrict141General[[#This Row],[Part of Erie County Vote Results]]</f>
        <v>264</v>
      </c>
      <c r="D11" s="13">
        <f>GovByAssemblyDistrict141General[[#This Row],[Total Votes by Party]]</f>
        <v>264</v>
      </c>
    </row>
    <row r="12" spans="1:4" x14ac:dyDescent="0.2">
      <c r="A12" s="4" t="s">
        <v>11</v>
      </c>
      <c r="B12" s="5">
        <v>282</v>
      </c>
      <c r="C12" s="12">
        <f>GovByAssemblyDistrict141General[[#This Row],[Part of Erie County Vote Results]]</f>
        <v>282</v>
      </c>
      <c r="D12" s="13">
        <f>GovByAssemblyDistrict141General[[#This Row],[Total Votes by Party]]</f>
        <v>282</v>
      </c>
    </row>
    <row r="13" spans="1:4" x14ac:dyDescent="0.2">
      <c r="A13" s="4" t="s">
        <v>0</v>
      </c>
      <c r="B13" s="5">
        <v>843</v>
      </c>
      <c r="C13" s="12">
        <f>GovByAssemblyDistrict141General[[#This Row],[Part of Erie County Vote Results]]</f>
        <v>843</v>
      </c>
      <c r="D13" s="14"/>
    </row>
    <row r="14" spans="1:4" x14ac:dyDescent="0.2">
      <c r="A14" s="4" t="s">
        <v>1</v>
      </c>
      <c r="B14" s="5">
        <v>0</v>
      </c>
      <c r="C14" s="12">
        <f>GovByAssemblyDistrict141General[[#This Row],[Part of Erie County Vote Results]]</f>
        <v>0</v>
      </c>
      <c r="D14" s="14"/>
    </row>
    <row r="15" spans="1:4" x14ac:dyDescent="0.2">
      <c r="A15" s="4" t="s">
        <v>2</v>
      </c>
      <c r="B15" s="5">
        <v>0</v>
      </c>
      <c r="C15" s="12">
        <f>GovByAssemblyDistrict141General[[#This Row],[Part of Erie County Vote Results]]</f>
        <v>0</v>
      </c>
      <c r="D15" s="14"/>
    </row>
    <row r="16" spans="1:4" hidden="1" x14ac:dyDescent="0.2">
      <c r="A16" s="4" t="s">
        <v>4</v>
      </c>
      <c r="B16" s="6">
        <f>SUBTOTAL(109,GovByAssemblyDistrict141General[Total Votes by Candidate])</f>
        <v>35652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7F0A8-447E-4B5B-A79F-5D490D339377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215</v>
      </c>
    </row>
    <row r="2" spans="1:4" ht="24.95" customHeight="1" x14ac:dyDescent="0.2">
      <c r="A2" s="7" t="s">
        <v>12</v>
      </c>
      <c r="B2" s="8" t="s">
        <v>212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20892</v>
      </c>
      <c r="C3" s="12">
        <f>GovByAssemblyDistrict142General[[#This Row],[Part of Erie County Vote Results]]</f>
        <v>20892</v>
      </c>
      <c r="D3" s="13">
        <f>SUM(C3,C7,C8,C9)</f>
        <v>22506</v>
      </c>
    </row>
    <row r="4" spans="1:4" x14ac:dyDescent="0.2">
      <c r="A4" s="2" t="s">
        <v>14</v>
      </c>
      <c r="B4" s="3">
        <v>19528</v>
      </c>
      <c r="C4" s="12">
        <f>GovByAssemblyDistrict142General[[#This Row],[Part of Erie County Vote Results]]</f>
        <v>19528</v>
      </c>
      <c r="D4" s="13">
        <f>SUM(C4,C5,C10)</f>
        <v>24588</v>
      </c>
    </row>
    <row r="5" spans="1:4" x14ac:dyDescent="0.2">
      <c r="A5" s="2" t="s">
        <v>15</v>
      </c>
      <c r="B5" s="3">
        <v>4723</v>
      </c>
      <c r="C5" s="12">
        <f>GovByAssemblyDistrict142General[[#This Row],[Part of Erie County Vote Results]]</f>
        <v>4723</v>
      </c>
      <c r="D5" s="14"/>
    </row>
    <row r="6" spans="1:4" x14ac:dyDescent="0.2">
      <c r="A6" s="2" t="s">
        <v>6</v>
      </c>
      <c r="B6" s="3">
        <v>806</v>
      </c>
      <c r="C6" s="12">
        <f>GovByAssemblyDistrict142General[[#This Row],[Part of Erie County Vote Results]]</f>
        <v>806</v>
      </c>
      <c r="D6" s="13">
        <f>GovByAssemblyDistrict142General[[#This Row],[Total Votes by Party]]</f>
        <v>806</v>
      </c>
    </row>
    <row r="7" spans="1:4" x14ac:dyDescent="0.2">
      <c r="A7" s="2" t="s">
        <v>7</v>
      </c>
      <c r="B7" s="3">
        <v>693</v>
      </c>
      <c r="C7" s="12">
        <f>GovByAssemblyDistrict142General[[#This Row],[Part of Erie County Vote Results]]</f>
        <v>693</v>
      </c>
      <c r="D7" s="14"/>
    </row>
    <row r="8" spans="1:4" x14ac:dyDescent="0.2">
      <c r="A8" s="2" t="s">
        <v>8</v>
      </c>
      <c r="B8" s="3">
        <v>683</v>
      </c>
      <c r="C8" s="12">
        <f>GovByAssemblyDistrict142General[[#This Row],[Part of Erie County Vote Results]]</f>
        <v>683</v>
      </c>
      <c r="D8" s="14"/>
    </row>
    <row r="9" spans="1:4" x14ac:dyDescent="0.2">
      <c r="A9" s="2" t="s">
        <v>9</v>
      </c>
      <c r="B9" s="3">
        <v>238</v>
      </c>
      <c r="C9" s="12">
        <f>GovByAssemblyDistrict142General[[#This Row],[Part of Erie County Vote Results]]</f>
        <v>238</v>
      </c>
      <c r="D9" s="14"/>
    </row>
    <row r="10" spans="1:4" x14ac:dyDescent="0.2">
      <c r="A10" s="2" t="s">
        <v>16</v>
      </c>
      <c r="B10" s="3">
        <v>337</v>
      </c>
      <c r="C10" s="12">
        <f>GovByAssemblyDistrict142General[[#This Row],[Part of Erie County Vote Results]]</f>
        <v>337</v>
      </c>
      <c r="D10" s="14"/>
    </row>
    <row r="11" spans="1:4" x14ac:dyDescent="0.2">
      <c r="A11" s="2" t="s">
        <v>10</v>
      </c>
      <c r="B11" s="3">
        <v>902</v>
      </c>
      <c r="C11" s="12">
        <f>GovByAssemblyDistrict142General[[#This Row],[Part of Erie County Vote Results]]</f>
        <v>902</v>
      </c>
      <c r="D11" s="13">
        <f>GovByAssemblyDistrict142General[[#This Row],[Total Votes by Party]]</f>
        <v>902</v>
      </c>
    </row>
    <row r="12" spans="1:4" x14ac:dyDescent="0.2">
      <c r="A12" s="4" t="s">
        <v>11</v>
      </c>
      <c r="B12" s="5">
        <v>422</v>
      </c>
      <c r="C12" s="12">
        <f>GovByAssemblyDistrict142General[[#This Row],[Part of Erie County Vote Results]]</f>
        <v>422</v>
      </c>
      <c r="D12" s="13">
        <f>GovByAssemblyDistrict142General[[#This Row],[Total Votes by Party]]</f>
        <v>422</v>
      </c>
    </row>
    <row r="13" spans="1:4" x14ac:dyDescent="0.2">
      <c r="A13" s="4" t="s">
        <v>0</v>
      </c>
      <c r="B13" s="5">
        <v>1054</v>
      </c>
      <c r="C13" s="12">
        <f>GovByAssemblyDistrict142General[[#This Row],[Part of Erie County Vote Results]]</f>
        <v>1054</v>
      </c>
      <c r="D13" s="14"/>
    </row>
    <row r="14" spans="1:4" x14ac:dyDescent="0.2">
      <c r="A14" s="4" t="s">
        <v>1</v>
      </c>
      <c r="B14" s="5">
        <v>0</v>
      </c>
      <c r="C14" s="12">
        <f>GovByAssemblyDistrict142General[[#This Row],[Part of Erie County Vote Results]]</f>
        <v>0</v>
      </c>
      <c r="D14" s="14"/>
    </row>
    <row r="15" spans="1:4" x14ac:dyDescent="0.2">
      <c r="A15" s="4" t="s">
        <v>2</v>
      </c>
      <c r="B15" s="5">
        <v>0</v>
      </c>
      <c r="C15" s="12">
        <f>GovByAssemblyDistrict142General[[#This Row],[Part of Erie County Vote Results]]</f>
        <v>0</v>
      </c>
      <c r="D15" s="14"/>
    </row>
    <row r="16" spans="1:4" hidden="1" x14ac:dyDescent="0.2">
      <c r="A16" s="4" t="s">
        <v>4</v>
      </c>
      <c r="B16" s="6">
        <f>SUBTOTAL(109,GovByAssemblyDistrict142General[Total Votes by Candidate])</f>
        <v>49224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58560-F853-4F8B-BAC8-C8C301E0695A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216</v>
      </c>
    </row>
    <row r="2" spans="1:4" ht="24.95" customHeight="1" x14ac:dyDescent="0.2">
      <c r="A2" s="7" t="s">
        <v>12</v>
      </c>
      <c r="B2" s="8" t="s">
        <v>212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20619</v>
      </c>
      <c r="C3" s="12">
        <f>GovByAssemblyDistrict143General[[#This Row],[Part of Erie County Vote Results]]</f>
        <v>20619</v>
      </c>
      <c r="D3" s="13">
        <f>SUM(C3,C7,C8,C9)</f>
        <v>22113</v>
      </c>
    </row>
    <row r="4" spans="1:4" x14ac:dyDescent="0.2">
      <c r="A4" s="2" t="s">
        <v>14</v>
      </c>
      <c r="B4" s="3">
        <v>19634</v>
      </c>
      <c r="C4" s="12">
        <f>GovByAssemblyDistrict143General[[#This Row],[Part of Erie County Vote Results]]</f>
        <v>19634</v>
      </c>
      <c r="D4" s="13">
        <f>SUM(C4,C5,C10)</f>
        <v>24382</v>
      </c>
    </row>
    <row r="5" spans="1:4" x14ac:dyDescent="0.2">
      <c r="A5" s="2" t="s">
        <v>15</v>
      </c>
      <c r="B5" s="3">
        <v>4416</v>
      </c>
      <c r="C5" s="12">
        <f>GovByAssemblyDistrict143General[[#This Row],[Part of Erie County Vote Results]]</f>
        <v>4416</v>
      </c>
      <c r="D5" s="14"/>
    </row>
    <row r="6" spans="1:4" x14ac:dyDescent="0.2">
      <c r="A6" s="2" t="s">
        <v>6</v>
      </c>
      <c r="B6" s="3">
        <v>710</v>
      </c>
      <c r="C6" s="12">
        <f>GovByAssemblyDistrict143General[[#This Row],[Part of Erie County Vote Results]]</f>
        <v>710</v>
      </c>
      <c r="D6" s="13">
        <f>GovByAssemblyDistrict143General[[#This Row],[Total Votes by Party]]</f>
        <v>710</v>
      </c>
    </row>
    <row r="7" spans="1:4" x14ac:dyDescent="0.2">
      <c r="A7" s="2" t="s">
        <v>7</v>
      </c>
      <c r="B7" s="3">
        <v>666</v>
      </c>
      <c r="C7" s="12">
        <f>GovByAssemblyDistrict143General[[#This Row],[Part of Erie County Vote Results]]</f>
        <v>666</v>
      </c>
      <c r="D7" s="14"/>
    </row>
    <row r="8" spans="1:4" x14ac:dyDescent="0.2">
      <c r="A8" s="2" t="s">
        <v>8</v>
      </c>
      <c r="B8" s="3">
        <v>586</v>
      </c>
      <c r="C8" s="12">
        <f>GovByAssemblyDistrict143General[[#This Row],[Part of Erie County Vote Results]]</f>
        <v>586</v>
      </c>
      <c r="D8" s="14"/>
    </row>
    <row r="9" spans="1:4" x14ac:dyDescent="0.2">
      <c r="A9" s="2" t="s">
        <v>9</v>
      </c>
      <c r="B9" s="3">
        <v>242</v>
      </c>
      <c r="C9" s="12">
        <f>GovByAssemblyDistrict143General[[#This Row],[Part of Erie County Vote Results]]</f>
        <v>242</v>
      </c>
      <c r="D9" s="14"/>
    </row>
    <row r="10" spans="1:4" x14ac:dyDescent="0.2">
      <c r="A10" s="2" t="s">
        <v>16</v>
      </c>
      <c r="B10" s="3">
        <v>332</v>
      </c>
      <c r="C10" s="12">
        <f>GovByAssemblyDistrict143General[[#This Row],[Part of Erie County Vote Results]]</f>
        <v>332</v>
      </c>
      <c r="D10" s="14"/>
    </row>
    <row r="11" spans="1:4" x14ac:dyDescent="0.2">
      <c r="A11" s="2" t="s">
        <v>10</v>
      </c>
      <c r="B11" s="3">
        <v>944</v>
      </c>
      <c r="C11" s="12">
        <f>GovByAssemblyDistrict143General[[#This Row],[Part of Erie County Vote Results]]</f>
        <v>944</v>
      </c>
      <c r="D11" s="13">
        <f>GovByAssemblyDistrict143General[[#This Row],[Total Votes by Party]]</f>
        <v>944</v>
      </c>
    </row>
    <row r="12" spans="1:4" x14ac:dyDescent="0.2">
      <c r="A12" s="4" t="s">
        <v>11</v>
      </c>
      <c r="B12" s="5">
        <v>352</v>
      </c>
      <c r="C12" s="12">
        <f>GovByAssemblyDistrict143General[[#This Row],[Part of Erie County Vote Results]]</f>
        <v>352</v>
      </c>
      <c r="D12" s="13">
        <f>GovByAssemblyDistrict143General[[#This Row],[Total Votes by Party]]</f>
        <v>352</v>
      </c>
    </row>
    <row r="13" spans="1:4" x14ac:dyDescent="0.2">
      <c r="A13" s="4" t="s">
        <v>0</v>
      </c>
      <c r="B13" s="5">
        <v>717</v>
      </c>
      <c r="C13" s="12">
        <f>GovByAssemblyDistrict143General[[#This Row],[Part of Erie County Vote Results]]</f>
        <v>717</v>
      </c>
      <c r="D13" s="14"/>
    </row>
    <row r="14" spans="1:4" x14ac:dyDescent="0.2">
      <c r="A14" s="4" t="s">
        <v>1</v>
      </c>
      <c r="B14" s="5">
        <v>0</v>
      </c>
      <c r="C14" s="12">
        <f>GovByAssemblyDistrict143General[[#This Row],[Part of Erie County Vote Results]]</f>
        <v>0</v>
      </c>
      <c r="D14" s="14"/>
    </row>
    <row r="15" spans="1:4" x14ac:dyDescent="0.2">
      <c r="A15" s="4" t="s">
        <v>2</v>
      </c>
      <c r="B15" s="5">
        <v>0</v>
      </c>
      <c r="C15" s="12">
        <f>GovByAssemblyDistrict143General[[#This Row],[Part of Erie County Vote Results]]</f>
        <v>0</v>
      </c>
      <c r="D15" s="14"/>
    </row>
    <row r="16" spans="1:4" hidden="1" x14ac:dyDescent="0.2">
      <c r="A16" s="4" t="s">
        <v>4</v>
      </c>
      <c r="B16" s="6">
        <f>SUBTOTAL(109,GovByAssemblyDistrict143General[Total Votes by Candidate])</f>
        <v>48501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6BA34-EB4F-4877-A8BC-CC967EBA109B}">
  <dimension ref="A1:F16"/>
  <sheetViews>
    <sheetView workbookViewId="0">
      <selection activeCell="C18" sqref="C18"/>
    </sheetView>
  </sheetViews>
  <sheetFormatPr defaultRowHeight="12.75" x14ac:dyDescent="0.2"/>
  <cols>
    <col min="1" max="1" width="25.5703125" customWidth="1"/>
    <col min="2" max="6" width="20.5703125" customWidth="1"/>
    <col min="7" max="8" width="23.5703125" customWidth="1"/>
  </cols>
  <sheetData>
    <row r="1" spans="1:6" ht="24.75" customHeight="1" x14ac:dyDescent="0.2">
      <c r="A1" s="1" t="s">
        <v>217</v>
      </c>
    </row>
    <row r="2" spans="1:6" ht="25.5" x14ac:dyDescent="0.2">
      <c r="A2" s="7" t="s">
        <v>12</v>
      </c>
      <c r="B2" s="8" t="s">
        <v>212</v>
      </c>
      <c r="C2" s="8" t="s">
        <v>213</v>
      </c>
      <c r="D2" s="8" t="s">
        <v>210</v>
      </c>
      <c r="E2" s="10" t="s">
        <v>228</v>
      </c>
      <c r="F2" s="11" t="s">
        <v>5</v>
      </c>
    </row>
    <row r="3" spans="1:6" x14ac:dyDescent="0.2">
      <c r="A3" s="2" t="s">
        <v>3</v>
      </c>
      <c r="B3" s="3">
        <v>7375</v>
      </c>
      <c r="C3" s="3">
        <v>8634</v>
      </c>
      <c r="D3" s="3">
        <v>383</v>
      </c>
      <c r="E3" s="12">
        <f>SUM(GovByAssemblyDistrict144General[[#This Row],[Part of Erie County Vote Results]:[Part of Orleans County Vote Results]])</f>
        <v>16392</v>
      </c>
      <c r="F3" s="13">
        <f>SUM(E3,E7,E8,E9)</f>
        <v>17717</v>
      </c>
    </row>
    <row r="4" spans="1:6" x14ac:dyDescent="0.2">
      <c r="A4" s="2" t="s">
        <v>14</v>
      </c>
      <c r="B4" s="3">
        <v>11170</v>
      </c>
      <c r="C4" s="3">
        <v>14084</v>
      </c>
      <c r="D4" s="3">
        <v>836</v>
      </c>
      <c r="E4" s="12">
        <f>SUM(GovByAssemblyDistrict144General[[#This Row],[Part of Erie County Vote Results]:[Part of Orleans County Vote Results]])</f>
        <v>26090</v>
      </c>
      <c r="F4" s="13">
        <f>SUM(E4,E5,E10)</f>
        <v>31898</v>
      </c>
    </row>
    <row r="5" spans="1:6" x14ac:dyDescent="0.2">
      <c r="A5" s="2" t="s">
        <v>15</v>
      </c>
      <c r="B5" s="3">
        <v>2527</v>
      </c>
      <c r="C5" s="3">
        <v>2794</v>
      </c>
      <c r="D5" s="3">
        <v>117</v>
      </c>
      <c r="E5" s="12">
        <f>SUM(GovByAssemblyDistrict144General[[#This Row],[Part of Erie County Vote Results]:[Part of Orleans County Vote Results]])</f>
        <v>5438</v>
      </c>
      <c r="F5" s="14"/>
    </row>
    <row r="6" spans="1:6" x14ac:dyDescent="0.2">
      <c r="A6" s="2" t="s">
        <v>6</v>
      </c>
      <c r="B6" s="3">
        <v>249</v>
      </c>
      <c r="C6" s="3">
        <v>368</v>
      </c>
      <c r="D6" s="3">
        <v>17</v>
      </c>
      <c r="E6" s="12">
        <f>SUM(GovByAssemblyDistrict144General[[#This Row],[Part of Erie County Vote Results]:[Part of Orleans County Vote Results]])</f>
        <v>634</v>
      </c>
      <c r="F6" s="13">
        <f>GovByAssemblyDistrict144General[[#This Row],[Total Votes by Party]]</f>
        <v>634</v>
      </c>
    </row>
    <row r="7" spans="1:6" x14ac:dyDescent="0.2">
      <c r="A7" s="2" t="s">
        <v>7</v>
      </c>
      <c r="B7" s="3">
        <v>202</v>
      </c>
      <c r="C7" s="3">
        <v>283</v>
      </c>
      <c r="D7" s="3">
        <v>8</v>
      </c>
      <c r="E7" s="12">
        <f>SUM(GovByAssemblyDistrict144General[[#This Row],[Part of Erie County Vote Results]:[Part of Orleans County Vote Results]])</f>
        <v>493</v>
      </c>
      <c r="F7" s="14"/>
    </row>
    <row r="8" spans="1:6" x14ac:dyDescent="0.2">
      <c r="A8" s="2" t="s">
        <v>8</v>
      </c>
      <c r="B8" s="3">
        <v>273</v>
      </c>
      <c r="C8" s="3">
        <v>356</v>
      </c>
      <c r="D8" s="3">
        <v>11</v>
      </c>
      <c r="E8" s="12">
        <f>SUM(GovByAssemblyDistrict144General[[#This Row],[Part of Erie County Vote Results]:[Part of Orleans County Vote Results]])</f>
        <v>640</v>
      </c>
      <c r="F8" s="14"/>
    </row>
    <row r="9" spans="1:6" x14ac:dyDescent="0.2">
      <c r="A9" s="2" t="s">
        <v>9</v>
      </c>
      <c r="B9" s="3">
        <v>85</v>
      </c>
      <c r="C9" s="3">
        <v>103</v>
      </c>
      <c r="D9" s="3">
        <v>4</v>
      </c>
      <c r="E9" s="12">
        <f>SUM(GovByAssemblyDistrict144General[[#This Row],[Part of Erie County Vote Results]:[Part of Orleans County Vote Results]])</f>
        <v>192</v>
      </c>
      <c r="F9" s="14"/>
    </row>
    <row r="10" spans="1:6" x14ac:dyDescent="0.2">
      <c r="A10" s="2" t="s">
        <v>16</v>
      </c>
      <c r="B10" s="3">
        <v>127</v>
      </c>
      <c r="C10" s="3">
        <v>226</v>
      </c>
      <c r="D10" s="3">
        <v>17</v>
      </c>
      <c r="E10" s="12">
        <f>SUM(GovByAssemblyDistrict144General[[#This Row],[Part of Erie County Vote Results]:[Part of Orleans County Vote Results]])</f>
        <v>370</v>
      </c>
      <c r="F10" s="14"/>
    </row>
    <row r="11" spans="1:6" x14ac:dyDescent="0.2">
      <c r="A11" s="2" t="s">
        <v>10</v>
      </c>
      <c r="B11" s="3">
        <v>384</v>
      </c>
      <c r="C11" s="3">
        <v>712</v>
      </c>
      <c r="D11" s="3">
        <v>66</v>
      </c>
      <c r="E11" s="12">
        <f>SUM(GovByAssemblyDistrict144General[[#This Row],[Part of Erie County Vote Results]:[Part of Orleans County Vote Results]])</f>
        <v>1162</v>
      </c>
      <c r="F11" s="13">
        <f>GovByAssemblyDistrict144General[[#This Row],[Total Votes by Party]]</f>
        <v>1162</v>
      </c>
    </row>
    <row r="12" spans="1:6" x14ac:dyDescent="0.2">
      <c r="A12" s="4" t="s">
        <v>11</v>
      </c>
      <c r="B12" s="3">
        <v>171</v>
      </c>
      <c r="C12" s="3">
        <v>271</v>
      </c>
      <c r="D12" s="3">
        <v>7</v>
      </c>
      <c r="E12" s="12">
        <f>SUM(GovByAssemblyDistrict144General[[#This Row],[Part of Erie County Vote Results]:[Part of Orleans County Vote Results]])</f>
        <v>449</v>
      </c>
      <c r="F12" s="13">
        <f>GovByAssemblyDistrict144General[[#This Row],[Total Votes by Party]]</f>
        <v>449</v>
      </c>
    </row>
    <row r="13" spans="1:6" x14ac:dyDescent="0.2">
      <c r="A13" s="4" t="s">
        <v>0</v>
      </c>
      <c r="B13" s="3">
        <v>347</v>
      </c>
      <c r="C13" s="3">
        <v>513</v>
      </c>
      <c r="D13" s="3">
        <v>21</v>
      </c>
      <c r="E13" s="12">
        <f>SUM(GovByAssemblyDistrict144General[[#This Row],[Part of Erie County Vote Results]:[Part of Orleans County Vote Results]])</f>
        <v>881</v>
      </c>
      <c r="F13" s="14"/>
    </row>
    <row r="14" spans="1:6" x14ac:dyDescent="0.2">
      <c r="A14" s="4" t="s">
        <v>1</v>
      </c>
      <c r="B14" s="3">
        <v>0</v>
      </c>
      <c r="C14" s="3">
        <v>0</v>
      </c>
      <c r="D14" s="3">
        <v>4</v>
      </c>
      <c r="E14" s="12">
        <f>SUM(GovByAssemblyDistrict144General[[#This Row],[Part of Erie County Vote Results]:[Part of Orleans County Vote Results]])</f>
        <v>4</v>
      </c>
      <c r="F14" s="14"/>
    </row>
    <row r="15" spans="1:6" x14ac:dyDescent="0.2">
      <c r="A15" s="4" t="s">
        <v>2</v>
      </c>
      <c r="B15" s="5">
        <v>0</v>
      </c>
      <c r="C15" s="5">
        <v>12</v>
      </c>
      <c r="D15" s="5">
        <v>0</v>
      </c>
      <c r="E15" s="12">
        <f>SUM(GovByAssemblyDistrict144General[[#This Row],[Part of Erie County Vote Results]:[Part of Orleans County Vote Results]])</f>
        <v>12</v>
      </c>
      <c r="F15" s="14"/>
    </row>
    <row r="16" spans="1:6" hidden="1" x14ac:dyDescent="0.2">
      <c r="A16" s="4" t="s">
        <v>4</v>
      </c>
      <c r="B16" s="6">
        <f>SUBTOTAL(109,GovByAssemblyDistrict144General[Part of Erie County Vote Results])</f>
        <v>22910</v>
      </c>
      <c r="C16" s="6"/>
      <c r="D16" s="6">
        <f>SUBTOTAL(109,GovByAssemblyDistrict144General[Part of Orleans County Vote Results])</f>
        <v>1491</v>
      </c>
      <c r="E16" s="6"/>
      <c r="F16" s="9"/>
    </row>
  </sheetData>
  <pageMargins left="0.7" right="0.7" top="0.75" bottom="0.75" header="0.3" footer="0.3"/>
  <tableParts count="1">
    <tablePart r:id="rId1"/>
  </tableParts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9A23F-F02E-4A54-B3CB-9CDEDB7A1D15}">
  <dimension ref="A1:E16"/>
  <sheetViews>
    <sheetView workbookViewId="0">
      <selection activeCell="C18" sqref="C18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24.75" customHeight="1" x14ac:dyDescent="0.2">
      <c r="A1" s="1" t="s">
        <v>218</v>
      </c>
    </row>
    <row r="2" spans="1:5" ht="25.5" x14ac:dyDescent="0.2">
      <c r="A2" s="7" t="s">
        <v>12</v>
      </c>
      <c r="B2" s="8" t="s">
        <v>212</v>
      </c>
      <c r="C2" s="8" t="s">
        <v>213</v>
      </c>
      <c r="D2" s="10" t="s">
        <v>228</v>
      </c>
      <c r="E2" s="11" t="s">
        <v>5</v>
      </c>
    </row>
    <row r="3" spans="1:5" x14ac:dyDescent="0.2">
      <c r="A3" s="2" t="s">
        <v>3</v>
      </c>
      <c r="B3" s="3">
        <v>3473</v>
      </c>
      <c r="C3" s="3">
        <v>13858</v>
      </c>
      <c r="D3" s="12">
        <f>SUM(GovByAssemblyDistrict145General[[#This Row],[Part of Erie County Vote Results]:[Part of Niagara County Vote Results]])</f>
        <v>17331</v>
      </c>
      <c r="E3" s="13">
        <f>SUM(D3,D7,D8,D9)</f>
        <v>18427</v>
      </c>
    </row>
    <row r="4" spans="1:5" x14ac:dyDescent="0.2">
      <c r="A4" s="2" t="s">
        <v>14</v>
      </c>
      <c r="B4" s="3">
        <v>4064</v>
      </c>
      <c r="C4" s="3">
        <v>15567</v>
      </c>
      <c r="D4" s="12">
        <f>SUM(GovByAssemblyDistrict145General[[#This Row],[Part of Erie County Vote Results]:[Part of Niagara County Vote Results]])</f>
        <v>19631</v>
      </c>
      <c r="E4" s="13">
        <f>SUM(D4,D5,D10)</f>
        <v>23774</v>
      </c>
    </row>
    <row r="5" spans="1:5" x14ac:dyDescent="0.2">
      <c r="A5" s="2" t="s">
        <v>15</v>
      </c>
      <c r="B5" s="3">
        <v>1051</v>
      </c>
      <c r="C5" s="3">
        <v>2821</v>
      </c>
      <c r="D5" s="12">
        <f>SUM(GovByAssemblyDistrict145General[[#This Row],[Part of Erie County Vote Results]:[Part of Niagara County Vote Results]])</f>
        <v>3872</v>
      </c>
      <c r="E5" s="14"/>
    </row>
    <row r="6" spans="1:5" x14ac:dyDescent="0.2">
      <c r="A6" s="2" t="s">
        <v>6</v>
      </c>
      <c r="B6" s="3">
        <v>106</v>
      </c>
      <c r="C6" s="3">
        <v>447</v>
      </c>
      <c r="D6" s="12">
        <f>SUM(GovByAssemblyDistrict145General[[#This Row],[Part of Erie County Vote Results]:[Part of Niagara County Vote Results]])</f>
        <v>553</v>
      </c>
      <c r="E6" s="13">
        <f>GovByAssemblyDistrict145General[[#This Row],[Total Votes by Party]]</f>
        <v>553</v>
      </c>
    </row>
    <row r="7" spans="1:5" x14ac:dyDescent="0.2">
      <c r="A7" s="2" t="s">
        <v>7</v>
      </c>
      <c r="B7" s="3">
        <v>111</v>
      </c>
      <c r="C7" s="3">
        <v>318</v>
      </c>
      <c r="D7" s="12">
        <f>SUM(GovByAssemblyDistrict145General[[#This Row],[Part of Erie County Vote Results]:[Part of Niagara County Vote Results]])</f>
        <v>429</v>
      </c>
      <c r="E7" s="14"/>
    </row>
    <row r="8" spans="1:5" x14ac:dyDescent="0.2">
      <c r="A8" s="2" t="s">
        <v>8</v>
      </c>
      <c r="B8" s="3">
        <v>124</v>
      </c>
      <c r="C8" s="3">
        <v>379</v>
      </c>
      <c r="D8" s="12">
        <f>SUM(GovByAssemblyDistrict145General[[#This Row],[Part of Erie County Vote Results]:[Part of Niagara County Vote Results]])</f>
        <v>503</v>
      </c>
      <c r="E8" s="14"/>
    </row>
    <row r="9" spans="1:5" x14ac:dyDescent="0.2">
      <c r="A9" s="2" t="s">
        <v>9</v>
      </c>
      <c r="B9" s="3">
        <v>46</v>
      </c>
      <c r="C9" s="3">
        <v>118</v>
      </c>
      <c r="D9" s="12">
        <f>SUM(GovByAssemblyDistrict145General[[#This Row],[Part of Erie County Vote Results]:[Part of Niagara County Vote Results]])</f>
        <v>164</v>
      </c>
      <c r="E9" s="14"/>
    </row>
    <row r="10" spans="1:5" x14ac:dyDescent="0.2">
      <c r="A10" s="2" t="s">
        <v>16</v>
      </c>
      <c r="B10" s="3">
        <v>60</v>
      </c>
      <c r="C10" s="3">
        <v>211</v>
      </c>
      <c r="D10" s="12">
        <f>SUM(GovByAssemblyDistrict145General[[#This Row],[Part of Erie County Vote Results]:[Part of Niagara County Vote Results]])</f>
        <v>271</v>
      </c>
      <c r="E10" s="14"/>
    </row>
    <row r="11" spans="1:5" x14ac:dyDescent="0.2">
      <c r="A11" s="2" t="s">
        <v>10</v>
      </c>
      <c r="B11" s="3">
        <v>131</v>
      </c>
      <c r="C11" s="3">
        <v>570</v>
      </c>
      <c r="D11" s="12">
        <f>SUM(GovByAssemblyDistrict145General[[#This Row],[Part of Erie County Vote Results]:[Part of Niagara County Vote Results]])</f>
        <v>701</v>
      </c>
      <c r="E11" s="13">
        <f>GovByAssemblyDistrict145General[[#This Row],[Total Votes by Party]]</f>
        <v>701</v>
      </c>
    </row>
    <row r="12" spans="1:5" x14ac:dyDescent="0.2">
      <c r="A12" s="4" t="s">
        <v>11</v>
      </c>
      <c r="B12" s="3">
        <v>55</v>
      </c>
      <c r="C12" s="3">
        <v>322</v>
      </c>
      <c r="D12" s="12">
        <f>SUM(GovByAssemblyDistrict145General[[#This Row],[Part of Erie County Vote Results]:[Part of Niagara County Vote Results]])</f>
        <v>377</v>
      </c>
      <c r="E12" s="13">
        <f>GovByAssemblyDistrict145General[[#This Row],[Total Votes by Party]]</f>
        <v>377</v>
      </c>
    </row>
    <row r="13" spans="1:5" x14ac:dyDescent="0.2">
      <c r="A13" s="4" t="s">
        <v>0</v>
      </c>
      <c r="B13" s="3">
        <v>124</v>
      </c>
      <c r="C13" s="3">
        <v>668</v>
      </c>
      <c r="D13" s="12">
        <f>SUM(GovByAssemblyDistrict145General[[#This Row],[Part of Erie County Vote Results]:[Part of Niagara County Vote Results]])</f>
        <v>792</v>
      </c>
      <c r="E13" s="14"/>
    </row>
    <row r="14" spans="1:5" x14ac:dyDescent="0.2">
      <c r="A14" s="4" t="s">
        <v>1</v>
      </c>
      <c r="B14" s="3">
        <v>0</v>
      </c>
      <c r="C14" s="3">
        <v>0</v>
      </c>
      <c r="D14" s="12">
        <f>SUM(GovByAssemblyDistrict145General[[#This Row],[Part of Erie County Vote Results]:[Part of Niagara County Vote Results]])</f>
        <v>0</v>
      </c>
      <c r="E14" s="14"/>
    </row>
    <row r="15" spans="1:5" x14ac:dyDescent="0.2">
      <c r="A15" s="4" t="s">
        <v>2</v>
      </c>
      <c r="B15" s="5">
        <v>0</v>
      </c>
      <c r="C15" s="5">
        <v>20</v>
      </c>
      <c r="D15" s="12">
        <f>SUM(GovByAssemblyDistrict145General[[#This Row],[Part of Erie County Vote Results]:[Part of Niagara County Vote Results]])</f>
        <v>20</v>
      </c>
      <c r="E15" s="14"/>
    </row>
    <row r="16" spans="1:5" hidden="1" x14ac:dyDescent="0.2">
      <c r="A16" s="4" t="s">
        <v>4</v>
      </c>
      <c r="B16" s="6">
        <f>SUBTOTAL(109,GovByAssemblyDistrict145General[Part of Erie County Vote Results])</f>
        <v>9345</v>
      </c>
      <c r="C16" s="6">
        <f>SUBTOTAL(109,GovByAssemblyDistrict145General[Part of Niagara County Vote Results])</f>
        <v>35299</v>
      </c>
      <c r="D16" s="6"/>
      <c r="E16" s="9"/>
    </row>
  </sheetData>
  <pageMargins left="0.7" right="0.7" top="0.75" bottom="0.75" header="0.3" footer="0.3"/>
  <tableParts count="1">
    <tablePart r:id="rId1"/>
  </tableParts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1DE8E-9674-4BD7-B0AB-52E3F14FE40C}">
  <dimension ref="A1:E16"/>
  <sheetViews>
    <sheetView workbookViewId="0">
      <selection activeCell="C18" sqref="C18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24.75" customHeight="1" x14ac:dyDescent="0.2">
      <c r="A1" s="1" t="s">
        <v>219</v>
      </c>
    </row>
    <row r="2" spans="1:5" ht="25.5" x14ac:dyDescent="0.2">
      <c r="A2" s="7" t="s">
        <v>12</v>
      </c>
      <c r="B2" s="8" t="s">
        <v>212</v>
      </c>
      <c r="C2" s="8" t="s">
        <v>213</v>
      </c>
      <c r="D2" s="10" t="s">
        <v>228</v>
      </c>
      <c r="E2" s="11" t="s">
        <v>5</v>
      </c>
    </row>
    <row r="3" spans="1:5" x14ac:dyDescent="0.2">
      <c r="A3" s="2" t="s">
        <v>3</v>
      </c>
      <c r="B3" s="3">
        <v>25042</v>
      </c>
      <c r="C3" s="3">
        <v>893</v>
      </c>
      <c r="D3" s="12">
        <f>SUM(GovByAssemblyDistrict146General[[#This Row],[Part of Erie County Vote Results]:[Part of Niagara County Vote Results]])</f>
        <v>25935</v>
      </c>
      <c r="E3" s="13">
        <f>SUM(D3,D7,D8,D9)</f>
        <v>27780</v>
      </c>
    </row>
    <row r="4" spans="1:5" x14ac:dyDescent="0.2">
      <c r="A4" s="2" t="s">
        <v>14</v>
      </c>
      <c r="B4" s="3">
        <v>16858</v>
      </c>
      <c r="C4" s="3">
        <v>1588</v>
      </c>
      <c r="D4" s="12">
        <f>SUM(GovByAssemblyDistrict146General[[#This Row],[Part of Erie County Vote Results]:[Part of Niagara County Vote Results]])</f>
        <v>18446</v>
      </c>
      <c r="E4" s="13">
        <f>SUM(D4,D5,D10)</f>
        <v>22810</v>
      </c>
    </row>
    <row r="5" spans="1:5" x14ac:dyDescent="0.2">
      <c r="A5" s="2" t="s">
        <v>15</v>
      </c>
      <c r="B5" s="3">
        <v>3756</v>
      </c>
      <c r="C5" s="3">
        <v>368</v>
      </c>
      <c r="D5" s="12">
        <f>SUM(GovByAssemblyDistrict146General[[#This Row],[Part of Erie County Vote Results]:[Part of Niagara County Vote Results]])</f>
        <v>4124</v>
      </c>
      <c r="E5" s="14"/>
    </row>
    <row r="6" spans="1:5" x14ac:dyDescent="0.2">
      <c r="A6" s="2" t="s">
        <v>6</v>
      </c>
      <c r="B6" s="3">
        <v>785</v>
      </c>
      <c r="C6" s="3">
        <v>27</v>
      </c>
      <c r="D6" s="12">
        <f>SUM(GovByAssemblyDistrict146General[[#This Row],[Part of Erie County Vote Results]:[Part of Niagara County Vote Results]])</f>
        <v>812</v>
      </c>
      <c r="E6" s="13">
        <f>GovByAssemblyDistrict146General[[#This Row],[Total Votes by Party]]</f>
        <v>812</v>
      </c>
    </row>
    <row r="7" spans="1:5" x14ac:dyDescent="0.2">
      <c r="A7" s="2" t="s">
        <v>7</v>
      </c>
      <c r="B7" s="3">
        <v>736</v>
      </c>
      <c r="C7" s="3">
        <v>32</v>
      </c>
      <c r="D7" s="12">
        <f>SUM(GovByAssemblyDistrict146General[[#This Row],[Part of Erie County Vote Results]:[Part of Niagara County Vote Results]])</f>
        <v>768</v>
      </c>
      <c r="E7" s="14"/>
    </row>
    <row r="8" spans="1:5" x14ac:dyDescent="0.2">
      <c r="A8" s="2" t="s">
        <v>8</v>
      </c>
      <c r="B8" s="3">
        <v>684</v>
      </c>
      <c r="C8" s="3">
        <v>48</v>
      </c>
      <c r="D8" s="12">
        <f>SUM(GovByAssemblyDistrict146General[[#This Row],[Part of Erie County Vote Results]:[Part of Niagara County Vote Results]])</f>
        <v>732</v>
      </c>
      <c r="E8" s="14"/>
    </row>
    <row r="9" spans="1:5" x14ac:dyDescent="0.2">
      <c r="A9" s="2" t="s">
        <v>9</v>
      </c>
      <c r="B9" s="3">
        <v>333</v>
      </c>
      <c r="C9" s="3">
        <v>12</v>
      </c>
      <c r="D9" s="12">
        <f>SUM(GovByAssemblyDistrict146General[[#This Row],[Part of Erie County Vote Results]:[Part of Niagara County Vote Results]])</f>
        <v>345</v>
      </c>
      <c r="E9" s="14"/>
    </row>
    <row r="10" spans="1:5" x14ac:dyDescent="0.2">
      <c r="A10" s="2" t="s">
        <v>16</v>
      </c>
      <c r="B10" s="3">
        <v>226</v>
      </c>
      <c r="C10" s="3">
        <v>14</v>
      </c>
      <c r="D10" s="12">
        <f>SUM(GovByAssemblyDistrict146General[[#This Row],[Part of Erie County Vote Results]:[Part of Niagara County Vote Results]])</f>
        <v>240</v>
      </c>
      <c r="E10" s="14"/>
    </row>
    <row r="11" spans="1:5" x14ac:dyDescent="0.2">
      <c r="A11" s="2" t="s">
        <v>10</v>
      </c>
      <c r="B11" s="3">
        <v>577</v>
      </c>
      <c r="C11" s="3">
        <v>32</v>
      </c>
      <c r="D11" s="12">
        <f>SUM(GovByAssemblyDistrict146General[[#This Row],[Part of Erie County Vote Results]:[Part of Niagara County Vote Results]])</f>
        <v>609</v>
      </c>
      <c r="E11" s="13">
        <f>GovByAssemblyDistrict146General[[#This Row],[Total Votes by Party]]</f>
        <v>609</v>
      </c>
    </row>
    <row r="12" spans="1:5" x14ac:dyDescent="0.2">
      <c r="A12" s="4" t="s">
        <v>11</v>
      </c>
      <c r="B12" s="3">
        <v>421</v>
      </c>
      <c r="C12" s="3">
        <v>25</v>
      </c>
      <c r="D12" s="12">
        <f>SUM(GovByAssemblyDistrict146General[[#This Row],[Part of Erie County Vote Results]:[Part of Niagara County Vote Results]])</f>
        <v>446</v>
      </c>
      <c r="E12" s="13">
        <f>GovByAssemblyDistrict146General[[#This Row],[Total Votes by Party]]</f>
        <v>446</v>
      </c>
    </row>
    <row r="13" spans="1:5" x14ac:dyDescent="0.2">
      <c r="A13" s="4" t="s">
        <v>0</v>
      </c>
      <c r="B13" s="3">
        <v>753</v>
      </c>
      <c r="C13" s="3">
        <v>51</v>
      </c>
      <c r="D13" s="12">
        <f>SUM(GovByAssemblyDistrict146General[[#This Row],[Part of Erie County Vote Results]:[Part of Niagara County Vote Results]])</f>
        <v>804</v>
      </c>
      <c r="E13" s="14"/>
    </row>
    <row r="14" spans="1:5" x14ac:dyDescent="0.2">
      <c r="A14" s="4" t="s">
        <v>1</v>
      </c>
      <c r="B14" s="3">
        <v>0</v>
      </c>
      <c r="C14" s="3">
        <v>0</v>
      </c>
      <c r="D14" s="12">
        <f>SUM(GovByAssemblyDistrict146General[[#This Row],[Part of Erie County Vote Results]:[Part of Niagara County Vote Results]])</f>
        <v>0</v>
      </c>
      <c r="E14" s="14"/>
    </row>
    <row r="15" spans="1:5" x14ac:dyDescent="0.2">
      <c r="A15" s="4" t="s">
        <v>2</v>
      </c>
      <c r="B15" s="5">
        <v>0</v>
      </c>
      <c r="C15" s="5">
        <v>0</v>
      </c>
      <c r="D15" s="12">
        <f>SUM(GovByAssemblyDistrict146General[[#This Row],[Part of Erie County Vote Results]:[Part of Niagara County Vote Results]])</f>
        <v>0</v>
      </c>
      <c r="E15" s="14"/>
    </row>
    <row r="16" spans="1:5" hidden="1" x14ac:dyDescent="0.2">
      <c r="A16" s="4" t="s">
        <v>4</v>
      </c>
      <c r="B16" s="6">
        <f>SUBTOTAL(109,GovByAssemblyDistrict146General[Part of Erie County Vote Results])</f>
        <v>50171</v>
      </c>
      <c r="C16" s="6">
        <f>SUBTOTAL(109,GovByAssemblyDistrict146General[Part of Niagara County Vote Results])</f>
        <v>3090</v>
      </c>
      <c r="D16" s="6"/>
      <c r="E16" s="9"/>
    </row>
  </sheetData>
  <pageMargins left="0.7" right="0.7" top="0.75" bottom="0.75" header="0.3" footer="0.3"/>
  <tableParts count="1">
    <tablePart r:id="rId1"/>
  </tableParts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D2155-81F3-4164-9BDE-91968C83CE34}">
  <dimension ref="A1:E16"/>
  <sheetViews>
    <sheetView workbookViewId="0">
      <selection activeCell="C18" sqref="C18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24.75" customHeight="1" x14ac:dyDescent="0.2">
      <c r="A1" s="1" t="s">
        <v>220</v>
      </c>
    </row>
    <row r="2" spans="1:5" ht="25.5" x14ac:dyDescent="0.2">
      <c r="A2" s="7" t="s">
        <v>12</v>
      </c>
      <c r="B2" s="8" t="s">
        <v>221</v>
      </c>
      <c r="C2" s="8" t="s">
        <v>212</v>
      </c>
      <c r="D2" s="10" t="s">
        <v>228</v>
      </c>
      <c r="E2" s="11" t="s">
        <v>5</v>
      </c>
    </row>
    <row r="3" spans="1:5" x14ac:dyDescent="0.2">
      <c r="A3" s="2" t="s">
        <v>3</v>
      </c>
      <c r="B3" s="3">
        <v>2438</v>
      </c>
      <c r="C3" s="3">
        <v>12684</v>
      </c>
      <c r="D3" s="12">
        <f>SUM(GovByAssemblyDistrict147General[[#This Row],[Wyoming County Vote Results]:[Part of Erie County Vote Results]])</f>
        <v>15122</v>
      </c>
      <c r="E3" s="13">
        <f>SUM(D3,D7,D8,D9)</f>
        <v>16532</v>
      </c>
    </row>
    <row r="4" spans="1:5" x14ac:dyDescent="0.2">
      <c r="A4" s="2" t="s">
        <v>14</v>
      </c>
      <c r="B4" s="3">
        <v>8703</v>
      </c>
      <c r="C4" s="3">
        <v>20354</v>
      </c>
      <c r="D4" s="12">
        <f>SUM(GovByAssemblyDistrict147General[[#This Row],[Wyoming County Vote Results]:[Part of Erie County Vote Results]])</f>
        <v>29057</v>
      </c>
      <c r="E4" s="13">
        <f>SUM(D4,D5,D10)</f>
        <v>35658</v>
      </c>
    </row>
    <row r="5" spans="1:5" x14ac:dyDescent="0.2">
      <c r="A5" s="2" t="s">
        <v>15</v>
      </c>
      <c r="B5" s="3">
        <v>1216</v>
      </c>
      <c r="C5" s="3">
        <v>4992</v>
      </c>
      <c r="D5" s="12">
        <f>SUM(GovByAssemblyDistrict147General[[#This Row],[Wyoming County Vote Results]:[Part of Erie County Vote Results]])</f>
        <v>6208</v>
      </c>
      <c r="E5" s="14"/>
    </row>
    <row r="6" spans="1:5" x14ac:dyDescent="0.2">
      <c r="A6" s="2" t="s">
        <v>6</v>
      </c>
      <c r="B6" s="3">
        <v>131</v>
      </c>
      <c r="C6" s="3">
        <v>659</v>
      </c>
      <c r="D6" s="12">
        <f>SUM(GovByAssemblyDistrict147General[[#This Row],[Wyoming County Vote Results]:[Part of Erie County Vote Results]])</f>
        <v>790</v>
      </c>
      <c r="E6" s="13">
        <f>GovByAssemblyDistrict147General[[#This Row],[Total Votes by Party]]</f>
        <v>790</v>
      </c>
    </row>
    <row r="7" spans="1:5" x14ac:dyDescent="0.2">
      <c r="A7" s="2" t="s">
        <v>7</v>
      </c>
      <c r="B7" s="3">
        <v>77</v>
      </c>
      <c r="C7" s="3">
        <v>516</v>
      </c>
      <c r="D7" s="12">
        <f>SUM(GovByAssemblyDistrict147General[[#This Row],[Wyoming County Vote Results]:[Part of Erie County Vote Results]])</f>
        <v>593</v>
      </c>
      <c r="E7" s="14"/>
    </row>
    <row r="8" spans="1:5" x14ac:dyDescent="0.2">
      <c r="A8" s="2" t="s">
        <v>8</v>
      </c>
      <c r="B8" s="3">
        <v>73</v>
      </c>
      <c r="C8" s="3">
        <v>544</v>
      </c>
      <c r="D8" s="12">
        <f>SUM(GovByAssemblyDistrict147General[[#This Row],[Wyoming County Vote Results]:[Part of Erie County Vote Results]])</f>
        <v>617</v>
      </c>
      <c r="E8" s="14"/>
    </row>
    <row r="9" spans="1:5" x14ac:dyDescent="0.2">
      <c r="A9" s="2" t="s">
        <v>9</v>
      </c>
      <c r="B9" s="3">
        <v>24</v>
      </c>
      <c r="C9" s="3">
        <v>176</v>
      </c>
      <c r="D9" s="12">
        <f>SUM(GovByAssemblyDistrict147General[[#This Row],[Wyoming County Vote Results]:[Part of Erie County Vote Results]])</f>
        <v>200</v>
      </c>
      <c r="E9" s="14"/>
    </row>
    <row r="10" spans="1:5" x14ac:dyDescent="0.2">
      <c r="A10" s="2" t="s">
        <v>16</v>
      </c>
      <c r="B10" s="3">
        <v>78</v>
      </c>
      <c r="C10" s="3">
        <v>315</v>
      </c>
      <c r="D10" s="12">
        <f>SUM(GovByAssemblyDistrict147General[[#This Row],[Wyoming County Vote Results]:[Part of Erie County Vote Results]])</f>
        <v>393</v>
      </c>
      <c r="E10" s="14"/>
    </row>
    <row r="11" spans="1:5" x14ac:dyDescent="0.2">
      <c r="A11" s="2" t="s">
        <v>10</v>
      </c>
      <c r="B11" s="3">
        <v>520</v>
      </c>
      <c r="C11" s="3">
        <v>713</v>
      </c>
      <c r="D11" s="12">
        <f>SUM(GovByAssemblyDistrict147General[[#This Row],[Wyoming County Vote Results]:[Part of Erie County Vote Results]])</f>
        <v>1233</v>
      </c>
      <c r="E11" s="13">
        <f>GovByAssemblyDistrict147General[[#This Row],[Total Votes by Party]]</f>
        <v>1233</v>
      </c>
    </row>
    <row r="12" spans="1:5" x14ac:dyDescent="0.2">
      <c r="A12" s="4" t="s">
        <v>11</v>
      </c>
      <c r="B12" s="3">
        <v>103</v>
      </c>
      <c r="C12" s="3">
        <v>339</v>
      </c>
      <c r="D12" s="12">
        <f>SUM(GovByAssemblyDistrict147General[[#This Row],[Wyoming County Vote Results]:[Part of Erie County Vote Results]])</f>
        <v>442</v>
      </c>
      <c r="E12" s="13">
        <f>GovByAssemblyDistrict147General[[#This Row],[Total Votes by Party]]</f>
        <v>442</v>
      </c>
    </row>
    <row r="13" spans="1:5" x14ac:dyDescent="0.2">
      <c r="A13" s="4" t="s">
        <v>0</v>
      </c>
      <c r="B13" s="3">
        <v>148</v>
      </c>
      <c r="C13" s="3">
        <v>745</v>
      </c>
      <c r="D13" s="12">
        <f>SUM(GovByAssemblyDistrict147General[[#This Row],[Wyoming County Vote Results]:[Part of Erie County Vote Results]])</f>
        <v>893</v>
      </c>
      <c r="E13" s="14"/>
    </row>
    <row r="14" spans="1:5" x14ac:dyDescent="0.2">
      <c r="A14" s="4" t="s">
        <v>1</v>
      </c>
      <c r="B14" s="3">
        <v>15</v>
      </c>
      <c r="C14" s="3">
        <v>0</v>
      </c>
      <c r="D14" s="12">
        <f>SUM(GovByAssemblyDistrict147General[[#This Row],[Wyoming County Vote Results]:[Part of Erie County Vote Results]])</f>
        <v>15</v>
      </c>
      <c r="E14" s="14"/>
    </row>
    <row r="15" spans="1:5" x14ac:dyDescent="0.2">
      <c r="A15" s="4" t="s">
        <v>2</v>
      </c>
      <c r="B15" s="5">
        <v>9</v>
      </c>
      <c r="C15" s="5">
        <v>0</v>
      </c>
      <c r="D15" s="12">
        <f>SUM(GovByAssemblyDistrict147General[[#This Row],[Wyoming County Vote Results]:[Part of Erie County Vote Results]])</f>
        <v>9</v>
      </c>
      <c r="E15" s="14"/>
    </row>
    <row r="16" spans="1:5" hidden="1" x14ac:dyDescent="0.2">
      <c r="A16" s="4" t="s">
        <v>4</v>
      </c>
      <c r="B16" s="6">
        <f>SUBTOTAL(109,GovByAssemblyDistrict147General[Wyoming County Vote Results])</f>
        <v>13535</v>
      </c>
      <c r="C16" s="6">
        <f>SUBTOTAL(109,GovByAssemblyDistrict147General[Part of Erie County Vote Results])</f>
        <v>42037</v>
      </c>
      <c r="D16" s="6"/>
      <c r="E16" s="9"/>
    </row>
  </sheetData>
  <pageMargins left="0.7" right="0.7" top="0.75" bottom="0.75" header="0.3" footer="0.3"/>
  <tableParts count="1">
    <tablePart r:id="rId1"/>
  </tableParts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A331B-AF66-4EF9-B054-2343F67D0E90}">
  <dimension ref="A1:F16"/>
  <sheetViews>
    <sheetView workbookViewId="0">
      <selection activeCell="C18" sqref="C18"/>
    </sheetView>
  </sheetViews>
  <sheetFormatPr defaultRowHeight="12.75" x14ac:dyDescent="0.2"/>
  <cols>
    <col min="1" max="1" width="25.5703125" customWidth="1"/>
    <col min="2" max="6" width="20.5703125" customWidth="1"/>
    <col min="7" max="8" width="23.5703125" customWidth="1"/>
  </cols>
  <sheetData>
    <row r="1" spans="1:6" ht="24.75" customHeight="1" x14ac:dyDescent="0.2">
      <c r="A1" s="1" t="s">
        <v>222</v>
      </c>
    </row>
    <row r="2" spans="1:6" ht="25.5" x14ac:dyDescent="0.2">
      <c r="A2" s="7" t="s">
        <v>12</v>
      </c>
      <c r="B2" s="8" t="s">
        <v>223</v>
      </c>
      <c r="C2" s="8" t="s">
        <v>224</v>
      </c>
      <c r="D2" s="8" t="s">
        <v>199</v>
      </c>
      <c r="E2" s="10" t="s">
        <v>228</v>
      </c>
      <c r="F2" s="11" t="s">
        <v>5</v>
      </c>
    </row>
    <row r="3" spans="1:6" x14ac:dyDescent="0.2">
      <c r="A3" s="2" t="s">
        <v>3</v>
      </c>
      <c r="B3" s="3">
        <v>3254</v>
      </c>
      <c r="C3" s="3">
        <v>6545</v>
      </c>
      <c r="D3" s="3">
        <v>148</v>
      </c>
      <c r="E3" s="12">
        <f>SUM(GovByAssemblyDistrict148General[[#This Row],[Allegany County Vote Results]:[Part of Steuben County Vote Results]])</f>
        <v>9947</v>
      </c>
      <c r="F3" s="13">
        <f>SUM(E3,E7,E8,E9)</f>
        <v>10679</v>
      </c>
    </row>
    <row r="4" spans="1:6" x14ac:dyDescent="0.2">
      <c r="A4" s="2" t="s">
        <v>14</v>
      </c>
      <c r="B4" s="3">
        <v>9234</v>
      </c>
      <c r="C4" s="3">
        <v>13240</v>
      </c>
      <c r="D4" s="3">
        <v>850</v>
      </c>
      <c r="E4" s="12">
        <f>SUM(GovByAssemblyDistrict148General[[#This Row],[Allegany County Vote Results]:[Part of Steuben County Vote Results]])</f>
        <v>23324</v>
      </c>
      <c r="F4" s="13">
        <f>SUM(E4,E5,E10)</f>
        <v>26074</v>
      </c>
    </row>
    <row r="5" spans="1:6" x14ac:dyDescent="0.2">
      <c r="A5" s="2" t="s">
        <v>15</v>
      </c>
      <c r="B5" s="3">
        <v>833</v>
      </c>
      <c r="C5" s="3">
        <v>1629</v>
      </c>
      <c r="D5" s="3">
        <v>58</v>
      </c>
      <c r="E5" s="12">
        <f>SUM(GovByAssemblyDistrict148General[[#This Row],[Allegany County Vote Results]:[Part of Steuben County Vote Results]])</f>
        <v>2520</v>
      </c>
      <c r="F5" s="14"/>
    </row>
    <row r="6" spans="1:6" x14ac:dyDescent="0.2">
      <c r="A6" s="2" t="s">
        <v>6</v>
      </c>
      <c r="B6" s="3">
        <v>183</v>
      </c>
      <c r="C6" s="3">
        <v>307</v>
      </c>
      <c r="D6" s="3">
        <v>9</v>
      </c>
      <c r="E6" s="12">
        <f>SUM(GovByAssemblyDistrict148General[[#This Row],[Allegany County Vote Results]:[Part of Steuben County Vote Results]])</f>
        <v>499</v>
      </c>
      <c r="F6" s="13">
        <f>GovByAssemblyDistrict148General[[#This Row],[Total Votes by Party]]</f>
        <v>499</v>
      </c>
    </row>
    <row r="7" spans="1:6" x14ac:dyDescent="0.2">
      <c r="A7" s="2" t="s">
        <v>7</v>
      </c>
      <c r="B7" s="3">
        <v>80</v>
      </c>
      <c r="C7" s="3">
        <v>146</v>
      </c>
      <c r="D7" s="3">
        <v>6</v>
      </c>
      <c r="E7" s="12">
        <f>SUM(GovByAssemblyDistrict148General[[#This Row],[Allegany County Vote Results]:[Part of Steuben County Vote Results]])</f>
        <v>232</v>
      </c>
      <c r="F7" s="14"/>
    </row>
    <row r="8" spans="1:6" x14ac:dyDescent="0.2">
      <c r="A8" s="2" t="s">
        <v>8</v>
      </c>
      <c r="B8" s="3">
        <v>106</v>
      </c>
      <c r="C8" s="3">
        <v>265</v>
      </c>
      <c r="D8" s="3">
        <v>4</v>
      </c>
      <c r="E8" s="12">
        <f>SUM(GovByAssemblyDistrict148General[[#This Row],[Allegany County Vote Results]:[Part of Steuben County Vote Results]])</f>
        <v>375</v>
      </c>
      <c r="F8" s="14"/>
    </row>
    <row r="9" spans="1:6" x14ac:dyDescent="0.2">
      <c r="A9" s="2" t="s">
        <v>9</v>
      </c>
      <c r="B9" s="3">
        <v>46</v>
      </c>
      <c r="C9" s="3">
        <v>78</v>
      </c>
      <c r="D9" s="3">
        <v>1</v>
      </c>
      <c r="E9" s="12">
        <f>SUM(GovByAssemblyDistrict148General[[#This Row],[Allegany County Vote Results]:[Part of Steuben County Vote Results]])</f>
        <v>125</v>
      </c>
      <c r="F9" s="14"/>
    </row>
    <row r="10" spans="1:6" x14ac:dyDescent="0.2">
      <c r="A10" s="2" t="s">
        <v>16</v>
      </c>
      <c r="B10" s="3">
        <v>65</v>
      </c>
      <c r="C10" s="3">
        <v>159</v>
      </c>
      <c r="D10" s="3">
        <v>6</v>
      </c>
      <c r="E10" s="12">
        <f>SUM(GovByAssemblyDistrict148General[[#This Row],[Allegany County Vote Results]:[Part of Steuben County Vote Results]])</f>
        <v>230</v>
      </c>
      <c r="F10" s="14"/>
    </row>
    <row r="11" spans="1:6" x14ac:dyDescent="0.2">
      <c r="A11" s="2" t="s">
        <v>10</v>
      </c>
      <c r="B11" s="3">
        <v>963</v>
      </c>
      <c r="C11" s="3">
        <v>1060</v>
      </c>
      <c r="D11" s="3">
        <v>68</v>
      </c>
      <c r="E11" s="12">
        <f>SUM(GovByAssemblyDistrict148General[[#This Row],[Allegany County Vote Results]:[Part of Steuben County Vote Results]])</f>
        <v>2091</v>
      </c>
      <c r="F11" s="13">
        <f>GovByAssemblyDistrict148General[[#This Row],[Total Votes by Party]]</f>
        <v>2091</v>
      </c>
    </row>
    <row r="12" spans="1:6" x14ac:dyDescent="0.2">
      <c r="A12" s="4" t="s">
        <v>11</v>
      </c>
      <c r="B12" s="3">
        <v>117</v>
      </c>
      <c r="C12" s="3">
        <v>192</v>
      </c>
      <c r="D12" s="3">
        <v>7</v>
      </c>
      <c r="E12" s="12">
        <f>SUM(GovByAssemblyDistrict148General[[#This Row],[Allegany County Vote Results]:[Part of Steuben County Vote Results]])</f>
        <v>316</v>
      </c>
      <c r="F12" s="13">
        <f>GovByAssemblyDistrict148General[[#This Row],[Total Votes by Party]]</f>
        <v>316</v>
      </c>
    </row>
    <row r="13" spans="1:6" x14ac:dyDescent="0.2">
      <c r="A13" s="4" t="s">
        <v>0</v>
      </c>
      <c r="B13" s="3">
        <v>462</v>
      </c>
      <c r="C13" s="3">
        <v>977</v>
      </c>
      <c r="D13" s="3">
        <v>41</v>
      </c>
      <c r="E13" s="12">
        <f>SUM(GovByAssemblyDistrict148General[[#This Row],[Allegany County Vote Results]:[Part of Steuben County Vote Results]])</f>
        <v>1480</v>
      </c>
      <c r="F13" s="14"/>
    </row>
    <row r="14" spans="1:6" x14ac:dyDescent="0.2">
      <c r="A14" s="4" t="s">
        <v>1</v>
      </c>
      <c r="B14" s="3">
        <v>3</v>
      </c>
      <c r="C14" s="3">
        <v>19</v>
      </c>
      <c r="D14" s="3">
        <v>0</v>
      </c>
      <c r="E14" s="12">
        <f>SUM(GovByAssemblyDistrict148General[[#This Row],[Allegany County Vote Results]:[Part of Steuben County Vote Results]])</f>
        <v>22</v>
      </c>
      <c r="F14" s="14"/>
    </row>
    <row r="15" spans="1:6" x14ac:dyDescent="0.2">
      <c r="A15" s="4" t="s">
        <v>2</v>
      </c>
      <c r="B15" s="5">
        <v>7</v>
      </c>
      <c r="C15" s="5">
        <v>4</v>
      </c>
      <c r="D15" s="5">
        <v>1</v>
      </c>
      <c r="E15" s="12">
        <f>SUM(GovByAssemblyDistrict148General[[#This Row],[Allegany County Vote Results]:[Part of Steuben County Vote Results]])</f>
        <v>12</v>
      </c>
      <c r="F15" s="14"/>
    </row>
    <row r="16" spans="1:6" hidden="1" x14ac:dyDescent="0.2">
      <c r="A16" s="4" t="s">
        <v>4</v>
      </c>
      <c r="B16" s="6">
        <f>SUBTOTAL(109,GovByAssemblyDistrict148General[Allegany County Vote Results])</f>
        <v>15353</v>
      </c>
      <c r="C16" s="6"/>
      <c r="D16" s="6">
        <f>SUBTOTAL(109,GovByAssemblyDistrict148General[Part of Steuben County Vote Results])</f>
        <v>1199</v>
      </c>
      <c r="E16" s="6"/>
      <c r="F16" s="9"/>
    </row>
  </sheetData>
  <pageMargins left="0.7" right="0.7" top="0.75" bottom="0.75" header="0.3" footer="0.3"/>
  <tableParts count="1">
    <tablePart r:id="rId1"/>
  </tableParts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D3942-B2C3-4218-85D6-5F7ECDC67B44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225</v>
      </c>
    </row>
    <row r="2" spans="1:4" ht="24.95" customHeight="1" x14ac:dyDescent="0.2">
      <c r="A2" s="7" t="s">
        <v>12</v>
      </c>
      <c r="B2" s="8" t="s">
        <v>212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23974</v>
      </c>
      <c r="C3" s="12">
        <f>GovByAssemblyDistrict149General[[#This Row],[Part of Erie County Vote Results]]</f>
        <v>23974</v>
      </c>
      <c r="D3" s="13">
        <f>SUM(C3,C7,C8,C9)</f>
        <v>26191</v>
      </c>
    </row>
    <row r="4" spans="1:4" x14ac:dyDescent="0.2">
      <c r="A4" s="2" t="s">
        <v>14</v>
      </c>
      <c r="B4" s="3">
        <v>13101</v>
      </c>
      <c r="C4" s="12">
        <f>GovByAssemblyDistrict149General[[#This Row],[Part of Erie County Vote Results]]</f>
        <v>13101</v>
      </c>
      <c r="D4" s="13">
        <f>SUM(C4,C5,C10)</f>
        <v>16425</v>
      </c>
    </row>
    <row r="5" spans="1:4" x14ac:dyDescent="0.2">
      <c r="A5" s="2" t="s">
        <v>15</v>
      </c>
      <c r="B5" s="3">
        <v>3052</v>
      </c>
      <c r="C5" s="12">
        <f>GovByAssemblyDistrict149General[[#This Row],[Part of Erie County Vote Results]]</f>
        <v>3052</v>
      </c>
      <c r="D5" s="14"/>
    </row>
    <row r="6" spans="1:4" x14ac:dyDescent="0.2">
      <c r="A6" s="2" t="s">
        <v>6</v>
      </c>
      <c r="B6" s="3">
        <v>1263</v>
      </c>
      <c r="C6" s="12">
        <f>GovByAssemblyDistrict149General[[#This Row],[Part of Erie County Vote Results]]</f>
        <v>1263</v>
      </c>
      <c r="D6" s="13">
        <f>GovByAssemblyDistrict149General[[#This Row],[Total Votes by Party]]</f>
        <v>1263</v>
      </c>
    </row>
    <row r="7" spans="1:4" x14ac:dyDescent="0.2">
      <c r="A7" s="2" t="s">
        <v>7</v>
      </c>
      <c r="B7" s="3">
        <v>1185</v>
      </c>
      <c r="C7" s="12">
        <f>GovByAssemblyDistrict149General[[#This Row],[Part of Erie County Vote Results]]</f>
        <v>1185</v>
      </c>
      <c r="D7" s="14"/>
    </row>
    <row r="8" spans="1:4" x14ac:dyDescent="0.2">
      <c r="A8" s="2" t="s">
        <v>8</v>
      </c>
      <c r="B8" s="3">
        <v>605</v>
      </c>
      <c r="C8" s="12">
        <f>GovByAssemblyDistrict149General[[#This Row],[Part of Erie County Vote Results]]</f>
        <v>605</v>
      </c>
      <c r="D8" s="14"/>
    </row>
    <row r="9" spans="1:4" x14ac:dyDescent="0.2">
      <c r="A9" s="2" t="s">
        <v>9</v>
      </c>
      <c r="B9" s="3">
        <v>427</v>
      </c>
      <c r="C9" s="12">
        <f>GovByAssemblyDistrict149General[[#This Row],[Part of Erie County Vote Results]]</f>
        <v>427</v>
      </c>
      <c r="D9" s="14"/>
    </row>
    <row r="10" spans="1:4" x14ac:dyDescent="0.2">
      <c r="A10" s="2" t="s">
        <v>16</v>
      </c>
      <c r="B10" s="3">
        <v>272</v>
      </c>
      <c r="C10" s="12">
        <f>GovByAssemblyDistrict149General[[#This Row],[Part of Erie County Vote Results]]</f>
        <v>272</v>
      </c>
      <c r="D10" s="14"/>
    </row>
    <row r="11" spans="1:4" x14ac:dyDescent="0.2">
      <c r="A11" s="2" t="s">
        <v>10</v>
      </c>
      <c r="B11" s="3">
        <v>758</v>
      </c>
      <c r="C11" s="12">
        <f>GovByAssemblyDistrict149General[[#This Row],[Part of Erie County Vote Results]]</f>
        <v>758</v>
      </c>
      <c r="D11" s="13">
        <f>GovByAssemblyDistrict149General[[#This Row],[Total Votes by Party]]</f>
        <v>758</v>
      </c>
    </row>
    <row r="12" spans="1:4" x14ac:dyDescent="0.2">
      <c r="A12" s="4" t="s">
        <v>11</v>
      </c>
      <c r="B12" s="5">
        <v>460</v>
      </c>
      <c r="C12" s="12">
        <f>GovByAssemblyDistrict149General[[#This Row],[Part of Erie County Vote Results]]</f>
        <v>460</v>
      </c>
      <c r="D12" s="13">
        <f>GovByAssemblyDistrict149General[[#This Row],[Total Votes by Party]]</f>
        <v>460</v>
      </c>
    </row>
    <row r="13" spans="1:4" x14ac:dyDescent="0.2">
      <c r="A13" s="4" t="s">
        <v>0</v>
      </c>
      <c r="B13" s="5">
        <v>1045</v>
      </c>
      <c r="C13" s="12">
        <f>GovByAssemblyDistrict149General[[#This Row],[Part of Erie County Vote Results]]</f>
        <v>1045</v>
      </c>
      <c r="D13" s="14"/>
    </row>
    <row r="14" spans="1:4" x14ac:dyDescent="0.2">
      <c r="A14" s="4" t="s">
        <v>1</v>
      </c>
      <c r="B14" s="5">
        <v>0</v>
      </c>
      <c r="C14" s="12">
        <f>GovByAssemblyDistrict149General[[#This Row],[Part of Erie County Vote Results]]</f>
        <v>0</v>
      </c>
      <c r="D14" s="14"/>
    </row>
    <row r="15" spans="1:4" x14ac:dyDescent="0.2">
      <c r="A15" s="4" t="s">
        <v>2</v>
      </c>
      <c r="B15" s="5">
        <v>0</v>
      </c>
      <c r="C15" s="12">
        <f>GovByAssemblyDistrict149General[[#This Row],[Part of Erie County Vote Results]]</f>
        <v>0</v>
      </c>
      <c r="D15" s="14"/>
    </row>
    <row r="16" spans="1:4" hidden="1" x14ac:dyDescent="0.2">
      <c r="A16" s="4" t="s">
        <v>4</v>
      </c>
      <c r="B16" s="6">
        <f>SUBTOTAL(109,GovByAssemblyDistrict149General[Total Votes by Candidate])</f>
        <v>45097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E6B91-EF91-4C25-98CC-F0F43D00A672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32</v>
      </c>
    </row>
    <row r="2" spans="1:4" ht="24.95" customHeight="1" x14ac:dyDescent="0.2">
      <c r="A2" s="7" t="s">
        <v>12</v>
      </c>
      <c r="B2" s="8" t="s">
        <v>17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22711</v>
      </c>
      <c r="C3" s="12">
        <f>GovByAssemblyDistrict15General[[#This Row],[Part of Nassau County Vote Results]]</f>
        <v>22711</v>
      </c>
      <c r="D3" s="13">
        <f>SUM(C3,C7,C8,C9)</f>
        <v>23630</v>
      </c>
    </row>
    <row r="4" spans="1:4" x14ac:dyDescent="0.2">
      <c r="A4" s="2" t="s">
        <v>14</v>
      </c>
      <c r="B4" s="3">
        <v>20788</v>
      </c>
      <c r="C4" s="12">
        <f>GovByAssemblyDistrict15General[[#This Row],[Part of Nassau County Vote Results]]</f>
        <v>20788</v>
      </c>
      <c r="D4" s="13">
        <f>SUM(C4,C5,C10)</f>
        <v>22980</v>
      </c>
    </row>
    <row r="5" spans="1:4" x14ac:dyDescent="0.2">
      <c r="A5" s="2" t="s">
        <v>15</v>
      </c>
      <c r="B5" s="3">
        <v>2035</v>
      </c>
      <c r="C5" s="12">
        <f>GovByAssemblyDistrict15General[[#This Row],[Part of Nassau County Vote Results]]</f>
        <v>2035</v>
      </c>
      <c r="D5" s="14"/>
    </row>
    <row r="6" spans="1:4" x14ac:dyDescent="0.2">
      <c r="A6" s="2" t="s">
        <v>6</v>
      </c>
      <c r="B6" s="3">
        <v>451</v>
      </c>
      <c r="C6" s="12">
        <f>GovByAssemblyDistrict15General[[#This Row],[Part of Nassau County Vote Results]]</f>
        <v>451</v>
      </c>
      <c r="D6" s="13">
        <f>GovByAssemblyDistrict15General[[#This Row],[Total Votes by Party]]</f>
        <v>451</v>
      </c>
    </row>
    <row r="7" spans="1:4" x14ac:dyDescent="0.2">
      <c r="A7" s="2" t="s">
        <v>7</v>
      </c>
      <c r="B7" s="3">
        <v>378</v>
      </c>
      <c r="C7" s="12">
        <f>GovByAssemblyDistrict15General[[#This Row],[Part of Nassau County Vote Results]]</f>
        <v>378</v>
      </c>
      <c r="D7" s="14"/>
    </row>
    <row r="8" spans="1:4" x14ac:dyDescent="0.2">
      <c r="A8" s="2" t="s">
        <v>8</v>
      </c>
      <c r="B8" s="3">
        <v>347</v>
      </c>
      <c r="C8" s="12">
        <f>GovByAssemblyDistrict15General[[#This Row],[Part of Nassau County Vote Results]]</f>
        <v>347</v>
      </c>
      <c r="D8" s="14"/>
    </row>
    <row r="9" spans="1:4" x14ac:dyDescent="0.2">
      <c r="A9" s="2" t="s">
        <v>9</v>
      </c>
      <c r="B9" s="3">
        <v>194</v>
      </c>
      <c r="C9" s="12">
        <f>GovByAssemblyDistrict15General[[#This Row],[Part of Nassau County Vote Results]]</f>
        <v>194</v>
      </c>
      <c r="D9" s="14"/>
    </row>
    <row r="10" spans="1:4" x14ac:dyDescent="0.2">
      <c r="A10" s="2" t="s">
        <v>16</v>
      </c>
      <c r="B10" s="3">
        <v>157</v>
      </c>
      <c r="C10" s="12">
        <f>GovByAssemblyDistrict15General[[#This Row],[Part of Nassau County Vote Results]]</f>
        <v>157</v>
      </c>
      <c r="D10" s="14"/>
    </row>
    <row r="11" spans="1:4" x14ac:dyDescent="0.2">
      <c r="A11" s="2" t="s">
        <v>10</v>
      </c>
      <c r="B11" s="3">
        <v>339</v>
      </c>
      <c r="C11" s="12">
        <f>GovByAssemblyDistrict15General[[#This Row],[Part of Nassau County Vote Results]]</f>
        <v>339</v>
      </c>
      <c r="D11" s="13">
        <f>GovByAssemblyDistrict15General[[#This Row],[Total Votes by Party]]</f>
        <v>339</v>
      </c>
    </row>
    <row r="12" spans="1:4" x14ac:dyDescent="0.2">
      <c r="A12" s="4" t="s">
        <v>11</v>
      </c>
      <c r="B12" s="5">
        <v>227</v>
      </c>
      <c r="C12" s="12">
        <f>GovByAssemblyDistrict15General[[#This Row],[Part of Nassau County Vote Results]]</f>
        <v>227</v>
      </c>
      <c r="D12" s="13">
        <f>GovByAssemblyDistrict15General[[#This Row],[Total Votes by Party]]</f>
        <v>227</v>
      </c>
    </row>
    <row r="13" spans="1:4" x14ac:dyDescent="0.2">
      <c r="A13" s="4" t="s">
        <v>0</v>
      </c>
      <c r="B13" s="5">
        <v>1043</v>
      </c>
      <c r="C13" s="12">
        <f>GovByAssemblyDistrict15General[[#This Row],[Part of Nassau County Vote Results]]</f>
        <v>1043</v>
      </c>
      <c r="D13" s="14"/>
    </row>
    <row r="14" spans="1:4" x14ac:dyDescent="0.2">
      <c r="A14" s="4" t="s">
        <v>1</v>
      </c>
      <c r="B14" s="5">
        <v>124</v>
      </c>
      <c r="C14" s="12">
        <f>GovByAssemblyDistrict15General[[#This Row],[Part of Nassau County Vote Results]]</f>
        <v>124</v>
      </c>
      <c r="D14" s="14"/>
    </row>
    <row r="15" spans="1:4" x14ac:dyDescent="0.2">
      <c r="A15" s="4" t="s">
        <v>2</v>
      </c>
      <c r="B15" s="5">
        <v>25</v>
      </c>
      <c r="C15" s="12">
        <f>GovByAssemblyDistrict15General[[#This Row],[Part of Nassau County Vote Results]]</f>
        <v>25</v>
      </c>
      <c r="D15" s="14"/>
    </row>
    <row r="16" spans="1:4" hidden="1" x14ac:dyDescent="0.2">
      <c r="A16" s="4" t="s">
        <v>4</v>
      </c>
      <c r="B16" s="6">
        <f>SUBTOTAL(109,GovByAssemblyDistrict15General[Total Votes by Candidate])</f>
        <v>47627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76F8E-4B11-4D76-AB24-5ED3673D64B9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226</v>
      </c>
    </row>
    <row r="2" spans="1:4" ht="24.95" customHeight="1" x14ac:dyDescent="0.2">
      <c r="A2" s="7" t="s">
        <v>12</v>
      </c>
      <c r="B2" s="8" t="s">
        <v>227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14260</v>
      </c>
      <c r="C3" s="12">
        <f>GovByAssemblyDistrict150General[[#This Row],[Chautauqua County Vote Results]]</f>
        <v>14260</v>
      </c>
      <c r="D3" s="13">
        <f>SUM(C3,C7,C8,C9)</f>
        <v>15447</v>
      </c>
    </row>
    <row r="4" spans="1:4" x14ac:dyDescent="0.2">
      <c r="A4" s="2" t="s">
        <v>14</v>
      </c>
      <c r="B4" s="3">
        <v>22435</v>
      </c>
      <c r="C4" s="12">
        <f>GovByAssemblyDistrict150General[[#This Row],[Chautauqua County Vote Results]]</f>
        <v>22435</v>
      </c>
      <c r="D4" s="13">
        <f>SUM(C4,C5,C10)</f>
        <v>25823</v>
      </c>
    </row>
    <row r="5" spans="1:4" x14ac:dyDescent="0.2">
      <c r="A5" s="2" t="s">
        <v>15</v>
      </c>
      <c r="B5" s="3">
        <v>3108</v>
      </c>
      <c r="C5" s="12">
        <f>GovByAssemblyDistrict150General[[#This Row],[Chautauqua County Vote Results]]</f>
        <v>3108</v>
      </c>
      <c r="D5" s="14"/>
    </row>
    <row r="6" spans="1:4" x14ac:dyDescent="0.2">
      <c r="A6" s="2" t="s">
        <v>6</v>
      </c>
      <c r="B6" s="3">
        <v>461</v>
      </c>
      <c r="C6" s="12">
        <f>GovByAssemblyDistrict150General[[#This Row],[Chautauqua County Vote Results]]</f>
        <v>461</v>
      </c>
      <c r="D6" s="13">
        <f>GovByAssemblyDistrict150General[[#This Row],[Total Votes by Party]]</f>
        <v>461</v>
      </c>
    </row>
    <row r="7" spans="1:4" x14ac:dyDescent="0.2">
      <c r="A7" s="2" t="s">
        <v>7</v>
      </c>
      <c r="B7" s="3">
        <v>395</v>
      </c>
      <c r="C7" s="12">
        <f>GovByAssemblyDistrict150General[[#This Row],[Chautauqua County Vote Results]]</f>
        <v>395</v>
      </c>
      <c r="D7" s="14"/>
    </row>
    <row r="8" spans="1:4" x14ac:dyDescent="0.2">
      <c r="A8" s="2" t="s">
        <v>8</v>
      </c>
      <c r="B8" s="3">
        <v>594</v>
      </c>
      <c r="C8" s="12">
        <f>GovByAssemblyDistrict150General[[#This Row],[Chautauqua County Vote Results]]</f>
        <v>594</v>
      </c>
      <c r="D8" s="14"/>
    </row>
    <row r="9" spans="1:4" x14ac:dyDescent="0.2">
      <c r="A9" s="2" t="s">
        <v>9</v>
      </c>
      <c r="B9" s="3">
        <v>198</v>
      </c>
      <c r="C9" s="12">
        <f>GovByAssemblyDistrict150General[[#This Row],[Chautauqua County Vote Results]]</f>
        <v>198</v>
      </c>
      <c r="D9" s="14"/>
    </row>
    <row r="10" spans="1:4" x14ac:dyDescent="0.2">
      <c r="A10" s="2" t="s">
        <v>16</v>
      </c>
      <c r="B10" s="3">
        <v>280</v>
      </c>
      <c r="C10" s="12">
        <f>GovByAssemblyDistrict150General[[#This Row],[Chautauqua County Vote Results]]</f>
        <v>280</v>
      </c>
      <c r="D10" s="14"/>
    </row>
    <row r="11" spans="1:4" x14ac:dyDescent="0.2">
      <c r="A11" s="2" t="s">
        <v>10</v>
      </c>
      <c r="B11" s="3">
        <v>1413</v>
      </c>
      <c r="C11" s="12">
        <f>GovByAssemblyDistrict150General[[#This Row],[Chautauqua County Vote Results]]</f>
        <v>1413</v>
      </c>
      <c r="D11" s="13">
        <f>GovByAssemblyDistrict150General[[#This Row],[Total Votes by Party]]</f>
        <v>1413</v>
      </c>
    </row>
    <row r="12" spans="1:4" x14ac:dyDescent="0.2">
      <c r="A12" s="4" t="s">
        <v>11</v>
      </c>
      <c r="B12" s="5">
        <v>315</v>
      </c>
      <c r="C12" s="12">
        <f>GovByAssemblyDistrict150General[[#This Row],[Chautauqua County Vote Results]]</f>
        <v>315</v>
      </c>
      <c r="D12" s="13">
        <f>GovByAssemblyDistrict150General[[#This Row],[Total Votes by Party]]</f>
        <v>315</v>
      </c>
    </row>
    <row r="13" spans="1:4" x14ac:dyDescent="0.2">
      <c r="A13" s="4" t="s">
        <v>0</v>
      </c>
      <c r="B13" s="5">
        <v>854</v>
      </c>
      <c r="C13" s="12">
        <f>GovByAssemblyDistrict150General[[#This Row],[Chautauqua County Vote Results]]</f>
        <v>854</v>
      </c>
      <c r="D13" s="14"/>
    </row>
    <row r="14" spans="1:4" x14ac:dyDescent="0.2">
      <c r="A14" s="4" t="s">
        <v>1</v>
      </c>
      <c r="B14" s="5">
        <v>163</v>
      </c>
      <c r="C14" s="12">
        <f>GovByAssemblyDistrict150General[[#This Row],[Chautauqua County Vote Results]]</f>
        <v>163</v>
      </c>
      <c r="D14" s="14"/>
    </row>
    <row r="15" spans="1:4" x14ac:dyDescent="0.2">
      <c r="A15" s="4" t="s">
        <v>2</v>
      </c>
      <c r="B15" s="5">
        <v>29</v>
      </c>
      <c r="C15" s="12">
        <f>GovByAssemblyDistrict150General[[#This Row],[Chautauqua County Vote Results]]</f>
        <v>29</v>
      </c>
      <c r="D15" s="14"/>
    </row>
    <row r="16" spans="1:4" hidden="1" x14ac:dyDescent="0.2">
      <c r="A16" s="4" t="s">
        <v>4</v>
      </c>
      <c r="B16" s="6">
        <f>SUBTOTAL(109,GovByAssemblyDistrict150General[Total Votes by Candidate])</f>
        <v>43459</v>
      </c>
      <c r="C16" s="6"/>
      <c r="D16" s="9"/>
    </row>
  </sheetData>
  <pageMargins left="0.7" right="0.7" top="0.75" bottom="0.75" header="0.3" footer="0.3"/>
  <pageSetup orientation="portrait" horizontalDpi="4294967295" verticalDpi="4294967295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80B56-F75F-487C-9686-1741445E192B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33</v>
      </c>
    </row>
    <row r="2" spans="1:4" ht="24.95" customHeight="1" x14ac:dyDescent="0.2">
      <c r="A2" s="7" t="s">
        <v>12</v>
      </c>
      <c r="B2" s="8" t="s">
        <v>17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28572</v>
      </c>
      <c r="C3" s="12">
        <f>GovByAssemblyDistrict16General[[#This Row],[Part of Nassau County Vote Results]]</f>
        <v>28572</v>
      </c>
      <c r="D3" s="13">
        <f>SUM(C3,C7,C8,C9)</f>
        <v>29690</v>
      </c>
    </row>
    <row r="4" spans="1:4" x14ac:dyDescent="0.2">
      <c r="A4" s="2" t="s">
        <v>14</v>
      </c>
      <c r="B4" s="3">
        <v>16583</v>
      </c>
      <c r="C4" s="12">
        <f>GovByAssemblyDistrict16General[[#This Row],[Part of Nassau County Vote Results]]</f>
        <v>16583</v>
      </c>
      <c r="D4" s="13">
        <f>SUM(C4,C5,C10)</f>
        <v>17881</v>
      </c>
    </row>
    <row r="5" spans="1:4" x14ac:dyDescent="0.2">
      <c r="A5" s="2" t="s">
        <v>15</v>
      </c>
      <c r="B5" s="3">
        <v>1166</v>
      </c>
      <c r="C5" s="12">
        <f>GovByAssemblyDistrict16General[[#This Row],[Part of Nassau County Vote Results]]</f>
        <v>1166</v>
      </c>
      <c r="D5" s="14"/>
    </row>
    <row r="6" spans="1:4" x14ac:dyDescent="0.2">
      <c r="A6" s="2" t="s">
        <v>6</v>
      </c>
      <c r="B6" s="3">
        <v>412</v>
      </c>
      <c r="C6" s="12">
        <f>GovByAssemblyDistrict16General[[#This Row],[Part of Nassau County Vote Results]]</f>
        <v>412</v>
      </c>
      <c r="D6" s="13">
        <f>GovByAssemblyDistrict16General[[#This Row],[Total Votes by Party]]</f>
        <v>412</v>
      </c>
    </row>
    <row r="7" spans="1:4" x14ac:dyDescent="0.2">
      <c r="A7" s="2" t="s">
        <v>7</v>
      </c>
      <c r="B7" s="3">
        <v>543</v>
      </c>
      <c r="C7" s="12">
        <f>GovByAssemblyDistrict16General[[#This Row],[Part of Nassau County Vote Results]]</f>
        <v>543</v>
      </c>
      <c r="D7" s="14"/>
    </row>
    <row r="8" spans="1:4" x14ac:dyDescent="0.2">
      <c r="A8" s="2" t="s">
        <v>8</v>
      </c>
      <c r="B8" s="3">
        <v>350</v>
      </c>
      <c r="C8" s="12">
        <f>GovByAssemblyDistrict16General[[#This Row],[Part of Nassau County Vote Results]]</f>
        <v>350</v>
      </c>
      <c r="D8" s="14"/>
    </row>
    <row r="9" spans="1:4" x14ac:dyDescent="0.2">
      <c r="A9" s="2" t="s">
        <v>9</v>
      </c>
      <c r="B9" s="3">
        <v>225</v>
      </c>
      <c r="C9" s="12">
        <f>GovByAssemblyDistrict16General[[#This Row],[Part of Nassau County Vote Results]]</f>
        <v>225</v>
      </c>
      <c r="D9" s="14"/>
    </row>
    <row r="10" spans="1:4" x14ac:dyDescent="0.2">
      <c r="A10" s="2" t="s">
        <v>16</v>
      </c>
      <c r="B10" s="3">
        <v>132</v>
      </c>
      <c r="C10" s="12">
        <f>GovByAssemblyDistrict16General[[#This Row],[Part of Nassau County Vote Results]]</f>
        <v>132</v>
      </c>
      <c r="D10" s="14"/>
    </row>
    <row r="11" spans="1:4" x14ac:dyDescent="0.2">
      <c r="A11" s="2" t="s">
        <v>10</v>
      </c>
      <c r="B11" s="3">
        <v>175</v>
      </c>
      <c r="C11" s="12">
        <f>GovByAssemblyDistrict16General[[#This Row],[Part of Nassau County Vote Results]]</f>
        <v>175</v>
      </c>
      <c r="D11" s="13">
        <f>GovByAssemblyDistrict16General[[#This Row],[Total Votes by Party]]</f>
        <v>175</v>
      </c>
    </row>
    <row r="12" spans="1:4" x14ac:dyDescent="0.2">
      <c r="A12" s="4" t="s">
        <v>11</v>
      </c>
      <c r="B12" s="5">
        <v>165</v>
      </c>
      <c r="C12" s="12">
        <f>GovByAssemblyDistrict16General[[#This Row],[Part of Nassau County Vote Results]]</f>
        <v>165</v>
      </c>
      <c r="D12" s="13">
        <f>GovByAssemblyDistrict16General[[#This Row],[Total Votes by Party]]</f>
        <v>165</v>
      </c>
    </row>
    <row r="13" spans="1:4" x14ac:dyDescent="0.2">
      <c r="A13" s="4" t="s">
        <v>0</v>
      </c>
      <c r="B13" s="5">
        <v>1434</v>
      </c>
      <c r="C13" s="12">
        <f>GovByAssemblyDistrict16General[[#This Row],[Part of Nassau County Vote Results]]</f>
        <v>1434</v>
      </c>
      <c r="D13" s="14"/>
    </row>
    <row r="14" spans="1:4" x14ac:dyDescent="0.2">
      <c r="A14" s="4" t="s">
        <v>1</v>
      </c>
      <c r="B14" s="5">
        <v>76</v>
      </c>
      <c r="C14" s="12">
        <f>GovByAssemblyDistrict16General[[#This Row],[Part of Nassau County Vote Results]]</f>
        <v>76</v>
      </c>
      <c r="D14" s="14"/>
    </row>
    <row r="15" spans="1:4" x14ac:dyDescent="0.2">
      <c r="A15" s="4" t="s">
        <v>2</v>
      </c>
      <c r="B15" s="5">
        <v>33</v>
      </c>
      <c r="C15" s="12">
        <f>GovByAssemblyDistrict16General[[#This Row],[Part of Nassau County Vote Results]]</f>
        <v>33</v>
      </c>
      <c r="D15" s="14"/>
    </row>
    <row r="16" spans="1:4" hidden="1" x14ac:dyDescent="0.2">
      <c r="A16" s="4" t="s">
        <v>4</v>
      </c>
      <c r="B16" s="6">
        <f>SUBTOTAL(109,GovByAssemblyDistrict16General[Total Votes by Candidate])</f>
        <v>48323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5409D-67C7-485D-B90E-87AA9520BDE2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34</v>
      </c>
    </row>
    <row r="2" spans="1:4" ht="24.95" customHeight="1" x14ac:dyDescent="0.2">
      <c r="A2" s="7" t="s">
        <v>12</v>
      </c>
      <c r="B2" s="8" t="s">
        <v>17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21043</v>
      </c>
      <c r="C3" s="12">
        <f>GovByAssemblyDistrict17General[[#This Row],[Part of Nassau County Vote Results]]</f>
        <v>21043</v>
      </c>
      <c r="D3" s="13">
        <f>SUM(C3,C7,C8,C9)</f>
        <v>22060</v>
      </c>
    </row>
    <row r="4" spans="1:4" x14ac:dyDescent="0.2">
      <c r="A4" s="2" t="s">
        <v>14</v>
      </c>
      <c r="B4" s="3">
        <v>22858</v>
      </c>
      <c r="C4" s="12">
        <f>GovByAssemblyDistrict17General[[#This Row],[Part of Nassau County Vote Results]]</f>
        <v>22858</v>
      </c>
      <c r="D4" s="13">
        <f>SUM(C4,C5,C10)</f>
        <v>25247</v>
      </c>
    </row>
    <row r="5" spans="1:4" x14ac:dyDescent="0.2">
      <c r="A5" s="2" t="s">
        <v>15</v>
      </c>
      <c r="B5" s="3">
        <v>2224</v>
      </c>
      <c r="C5" s="12">
        <f>GovByAssemblyDistrict17General[[#This Row],[Part of Nassau County Vote Results]]</f>
        <v>2224</v>
      </c>
      <c r="D5" s="14"/>
    </row>
    <row r="6" spans="1:4" x14ac:dyDescent="0.2">
      <c r="A6" s="2" t="s">
        <v>6</v>
      </c>
      <c r="B6" s="3">
        <v>426</v>
      </c>
      <c r="C6" s="12">
        <f>GovByAssemblyDistrict17General[[#This Row],[Part of Nassau County Vote Results]]</f>
        <v>426</v>
      </c>
      <c r="D6" s="13">
        <f>GovByAssemblyDistrict17General[[#This Row],[Total Votes by Party]]</f>
        <v>426</v>
      </c>
    </row>
    <row r="7" spans="1:4" x14ac:dyDescent="0.2">
      <c r="A7" s="2" t="s">
        <v>7</v>
      </c>
      <c r="B7" s="3">
        <v>458</v>
      </c>
      <c r="C7" s="12">
        <f>GovByAssemblyDistrict17General[[#This Row],[Part of Nassau County Vote Results]]</f>
        <v>458</v>
      </c>
      <c r="D7" s="14"/>
    </row>
    <row r="8" spans="1:4" x14ac:dyDescent="0.2">
      <c r="A8" s="2" t="s">
        <v>8</v>
      </c>
      <c r="B8" s="3">
        <v>347</v>
      </c>
      <c r="C8" s="12">
        <f>GovByAssemblyDistrict17General[[#This Row],[Part of Nassau County Vote Results]]</f>
        <v>347</v>
      </c>
      <c r="D8" s="14"/>
    </row>
    <row r="9" spans="1:4" x14ac:dyDescent="0.2">
      <c r="A9" s="2" t="s">
        <v>9</v>
      </c>
      <c r="B9" s="3">
        <v>212</v>
      </c>
      <c r="C9" s="12">
        <f>GovByAssemblyDistrict17General[[#This Row],[Part of Nassau County Vote Results]]</f>
        <v>212</v>
      </c>
      <c r="D9" s="14"/>
    </row>
    <row r="10" spans="1:4" x14ac:dyDescent="0.2">
      <c r="A10" s="2" t="s">
        <v>16</v>
      </c>
      <c r="B10" s="3">
        <v>165</v>
      </c>
      <c r="C10" s="12">
        <f>GovByAssemblyDistrict17General[[#This Row],[Part of Nassau County Vote Results]]</f>
        <v>165</v>
      </c>
      <c r="D10" s="14"/>
    </row>
    <row r="11" spans="1:4" x14ac:dyDescent="0.2">
      <c r="A11" s="2" t="s">
        <v>10</v>
      </c>
      <c r="B11" s="3">
        <v>368</v>
      </c>
      <c r="C11" s="12">
        <f>GovByAssemblyDistrict17General[[#This Row],[Part of Nassau County Vote Results]]</f>
        <v>368</v>
      </c>
      <c r="D11" s="13">
        <f>GovByAssemblyDistrict17General[[#This Row],[Total Votes by Party]]</f>
        <v>368</v>
      </c>
    </row>
    <row r="12" spans="1:4" x14ac:dyDescent="0.2">
      <c r="A12" s="4" t="s">
        <v>11</v>
      </c>
      <c r="B12" s="5">
        <v>199</v>
      </c>
      <c r="C12" s="12">
        <f>GovByAssemblyDistrict17General[[#This Row],[Part of Nassau County Vote Results]]</f>
        <v>199</v>
      </c>
      <c r="D12" s="13">
        <f>GovByAssemblyDistrict17General[[#This Row],[Total Votes by Party]]</f>
        <v>199</v>
      </c>
    </row>
    <row r="13" spans="1:4" x14ac:dyDescent="0.2">
      <c r="A13" s="4" t="s">
        <v>0</v>
      </c>
      <c r="B13" s="5">
        <v>1112</v>
      </c>
      <c r="C13" s="12">
        <f>GovByAssemblyDistrict17General[[#This Row],[Part of Nassau County Vote Results]]</f>
        <v>1112</v>
      </c>
      <c r="D13" s="14"/>
    </row>
    <row r="14" spans="1:4" x14ac:dyDescent="0.2">
      <c r="A14" s="4" t="s">
        <v>1</v>
      </c>
      <c r="B14" s="5">
        <v>111</v>
      </c>
      <c r="C14" s="12">
        <f>GovByAssemblyDistrict17General[[#This Row],[Part of Nassau County Vote Results]]</f>
        <v>111</v>
      </c>
      <c r="D14" s="14"/>
    </row>
    <row r="15" spans="1:4" x14ac:dyDescent="0.2">
      <c r="A15" s="4" t="s">
        <v>2</v>
      </c>
      <c r="B15" s="5">
        <v>35</v>
      </c>
      <c r="C15" s="12">
        <f>GovByAssemblyDistrict17General[[#This Row],[Part of Nassau County Vote Results]]</f>
        <v>35</v>
      </c>
      <c r="D15" s="14"/>
    </row>
    <row r="16" spans="1:4" hidden="1" x14ac:dyDescent="0.2">
      <c r="A16" s="4" t="s">
        <v>4</v>
      </c>
      <c r="B16" s="6">
        <f>SUBTOTAL(109,GovByAssemblyDistrict17General[Total Votes by Candidate])</f>
        <v>48300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3183B-87A6-4B8F-BE2F-F1286E02F9EB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35</v>
      </c>
    </row>
    <row r="2" spans="1:4" ht="24.95" customHeight="1" x14ac:dyDescent="0.2">
      <c r="A2" s="7" t="s">
        <v>12</v>
      </c>
      <c r="B2" s="8" t="s">
        <v>17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31014</v>
      </c>
      <c r="C3" s="12">
        <f>GovByAssemblyDistrict18General[[#This Row],[Part of Nassau County Vote Results]]</f>
        <v>31014</v>
      </c>
      <c r="D3" s="13">
        <f>SUM(C3,C7,C8,C9)</f>
        <v>31695</v>
      </c>
    </row>
    <row r="4" spans="1:4" x14ac:dyDescent="0.2">
      <c r="A4" s="2" t="s">
        <v>14</v>
      </c>
      <c r="B4" s="3">
        <v>2876</v>
      </c>
      <c r="C4" s="12">
        <f>GovByAssemblyDistrict18General[[#This Row],[Part of Nassau County Vote Results]]</f>
        <v>2876</v>
      </c>
      <c r="D4" s="13">
        <f>SUM(C4,C5,C10)</f>
        <v>3240</v>
      </c>
    </row>
    <row r="5" spans="1:4" x14ac:dyDescent="0.2">
      <c r="A5" s="2" t="s">
        <v>15</v>
      </c>
      <c r="B5" s="3">
        <v>322</v>
      </c>
      <c r="C5" s="12">
        <f>GovByAssemblyDistrict18General[[#This Row],[Part of Nassau County Vote Results]]</f>
        <v>322</v>
      </c>
      <c r="D5" s="14"/>
    </row>
    <row r="6" spans="1:4" x14ac:dyDescent="0.2">
      <c r="A6" s="2" t="s">
        <v>6</v>
      </c>
      <c r="B6" s="3">
        <v>181</v>
      </c>
      <c r="C6" s="12">
        <f>GovByAssemblyDistrict18General[[#This Row],[Part of Nassau County Vote Results]]</f>
        <v>181</v>
      </c>
      <c r="D6" s="13">
        <f>GovByAssemblyDistrict18General[[#This Row],[Total Votes by Party]]</f>
        <v>181</v>
      </c>
    </row>
    <row r="7" spans="1:4" x14ac:dyDescent="0.2">
      <c r="A7" s="2" t="s">
        <v>7</v>
      </c>
      <c r="B7" s="3">
        <v>341</v>
      </c>
      <c r="C7" s="12">
        <f>GovByAssemblyDistrict18General[[#This Row],[Part of Nassau County Vote Results]]</f>
        <v>341</v>
      </c>
      <c r="D7" s="14"/>
    </row>
    <row r="8" spans="1:4" x14ac:dyDescent="0.2">
      <c r="A8" s="2" t="s">
        <v>8</v>
      </c>
      <c r="B8" s="3">
        <v>226</v>
      </c>
      <c r="C8" s="12">
        <f>GovByAssemblyDistrict18General[[#This Row],[Part of Nassau County Vote Results]]</f>
        <v>226</v>
      </c>
      <c r="D8" s="14"/>
    </row>
    <row r="9" spans="1:4" x14ac:dyDescent="0.2">
      <c r="A9" s="2" t="s">
        <v>9</v>
      </c>
      <c r="B9" s="3">
        <v>114</v>
      </c>
      <c r="C9" s="12">
        <f>GovByAssemblyDistrict18General[[#This Row],[Part of Nassau County Vote Results]]</f>
        <v>114</v>
      </c>
      <c r="D9" s="14"/>
    </row>
    <row r="10" spans="1:4" x14ac:dyDescent="0.2">
      <c r="A10" s="2" t="s">
        <v>16</v>
      </c>
      <c r="B10" s="3">
        <v>42</v>
      </c>
      <c r="C10" s="12">
        <f>GovByAssemblyDistrict18General[[#This Row],[Part of Nassau County Vote Results]]</f>
        <v>42</v>
      </c>
      <c r="D10" s="14"/>
    </row>
    <row r="11" spans="1:4" x14ac:dyDescent="0.2">
      <c r="A11" s="2" t="s">
        <v>10</v>
      </c>
      <c r="B11" s="3">
        <v>108</v>
      </c>
      <c r="C11" s="12">
        <f>GovByAssemblyDistrict18General[[#This Row],[Part of Nassau County Vote Results]]</f>
        <v>108</v>
      </c>
      <c r="D11" s="13">
        <f>GovByAssemblyDistrict18General[[#This Row],[Total Votes by Party]]</f>
        <v>108</v>
      </c>
    </row>
    <row r="12" spans="1:4" x14ac:dyDescent="0.2">
      <c r="A12" s="4" t="s">
        <v>11</v>
      </c>
      <c r="B12" s="5">
        <v>66</v>
      </c>
      <c r="C12" s="12">
        <f>GovByAssemblyDistrict18General[[#This Row],[Part of Nassau County Vote Results]]</f>
        <v>66</v>
      </c>
      <c r="D12" s="13">
        <f>GovByAssemblyDistrict18General[[#This Row],[Total Votes by Party]]</f>
        <v>66</v>
      </c>
    </row>
    <row r="13" spans="1:4" x14ac:dyDescent="0.2">
      <c r="A13" s="4" t="s">
        <v>0</v>
      </c>
      <c r="B13" s="5">
        <v>909</v>
      </c>
      <c r="C13" s="12">
        <f>GovByAssemblyDistrict18General[[#This Row],[Part of Nassau County Vote Results]]</f>
        <v>909</v>
      </c>
      <c r="D13" s="14"/>
    </row>
    <row r="14" spans="1:4" x14ac:dyDescent="0.2">
      <c r="A14" s="4" t="s">
        <v>1</v>
      </c>
      <c r="B14" s="5">
        <v>271</v>
      </c>
      <c r="C14" s="12">
        <f>GovByAssemblyDistrict18General[[#This Row],[Part of Nassau County Vote Results]]</f>
        <v>271</v>
      </c>
      <c r="D14" s="14"/>
    </row>
    <row r="15" spans="1:4" x14ac:dyDescent="0.2">
      <c r="A15" s="4" t="s">
        <v>2</v>
      </c>
      <c r="B15" s="5">
        <v>45</v>
      </c>
      <c r="C15" s="12">
        <f>GovByAssemblyDistrict18General[[#This Row],[Part of Nassau County Vote Results]]</f>
        <v>45</v>
      </c>
      <c r="D15" s="14"/>
    </row>
    <row r="16" spans="1:4" hidden="1" x14ac:dyDescent="0.2">
      <c r="A16" s="4" t="s">
        <v>4</v>
      </c>
      <c r="B16" s="6">
        <f>SUBTOTAL(109,GovByAssemblyDistrict18General[Total Votes by Candidate])</f>
        <v>35290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7E4A0-28C5-45AE-8866-A132C2718920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36</v>
      </c>
    </row>
    <row r="2" spans="1:4" ht="24.95" customHeight="1" x14ac:dyDescent="0.2">
      <c r="A2" s="7" t="s">
        <v>12</v>
      </c>
      <c r="B2" s="8" t="s">
        <v>17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21759</v>
      </c>
      <c r="C3" s="12">
        <f>GovByAssemblyDistrict19General[[#This Row],[Part of Nassau County Vote Results]]</f>
        <v>21759</v>
      </c>
      <c r="D3" s="13">
        <f>SUM(C3,C7,C8,C9)</f>
        <v>22750</v>
      </c>
    </row>
    <row r="4" spans="1:4" x14ac:dyDescent="0.2">
      <c r="A4" s="2" t="s">
        <v>14</v>
      </c>
      <c r="B4" s="3">
        <v>21764</v>
      </c>
      <c r="C4" s="12">
        <f>GovByAssemblyDistrict19General[[#This Row],[Part of Nassau County Vote Results]]</f>
        <v>21764</v>
      </c>
      <c r="D4" s="13">
        <f>SUM(C4,C5,C10)</f>
        <v>24009</v>
      </c>
    </row>
    <row r="5" spans="1:4" x14ac:dyDescent="0.2">
      <c r="A5" s="2" t="s">
        <v>15</v>
      </c>
      <c r="B5" s="3">
        <v>2079</v>
      </c>
      <c r="C5" s="12">
        <f>GovByAssemblyDistrict19General[[#This Row],[Part of Nassau County Vote Results]]</f>
        <v>2079</v>
      </c>
      <c r="D5" s="14"/>
    </row>
    <row r="6" spans="1:4" x14ac:dyDescent="0.2">
      <c r="A6" s="2" t="s">
        <v>6</v>
      </c>
      <c r="B6" s="3">
        <v>417</v>
      </c>
      <c r="C6" s="12">
        <f>GovByAssemblyDistrict19General[[#This Row],[Part of Nassau County Vote Results]]</f>
        <v>417</v>
      </c>
      <c r="D6" s="13">
        <f>GovByAssemblyDistrict19General[[#This Row],[Total Votes by Party]]</f>
        <v>417</v>
      </c>
    </row>
    <row r="7" spans="1:4" x14ac:dyDescent="0.2">
      <c r="A7" s="2" t="s">
        <v>7</v>
      </c>
      <c r="B7" s="3">
        <v>412</v>
      </c>
      <c r="C7" s="12">
        <f>GovByAssemblyDistrict19General[[#This Row],[Part of Nassau County Vote Results]]</f>
        <v>412</v>
      </c>
      <c r="D7" s="14"/>
    </row>
    <row r="8" spans="1:4" x14ac:dyDescent="0.2">
      <c r="A8" s="2" t="s">
        <v>8</v>
      </c>
      <c r="B8" s="3">
        <v>370</v>
      </c>
      <c r="C8" s="12">
        <f>GovByAssemblyDistrict19General[[#This Row],[Part of Nassau County Vote Results]]</f>
        <v>370</v>
      </c>
      <c r="D8" s="14"/>
    </row>
    <row r="9" spans="1:4" x14ac:dyDescent="0.2">
      <c r="A9" s="2" t="s">
        <v>9</v>
      </c>
      <c r="B9" s="3">
        <v>209</v>
      </c>
      <c r="C9" s="12">
        <f>GovByAssemblyDistrict19General[[#This Row],[Part of Nassau County Vote Results]]</f>
        <v>209</v>
      </c>
      <c r="D9" s="14"/>
    </row>
    <row r="10" spans="1:4" x14ac:dyDescent="0.2">
      <c r="A10" s="2" t="s">
        <v>16</v>
      </c>
      <c r="B10" s="3">
        <v>166</v>
      </c>
      <c r="C10" s="12">
        <f>GovByAssemblyDistrict19General[[#This Row],[Part of Nassau County Vote Results]]</f>
        <v>166</v>
      </c>
      <c r="D10" s="14"/>
    </row>
    <row r="11" spans="1:4" x14ac:dyDescent="0.2">
      <c r="A11" s="2" t="s">
        <v>10</v>
      </c>
      <c r="B11" s="3">
        <v>275</v>
      </c>
      <c r="C11" s="12">
        <f>GovByAssemblyDistrict19General[[#This Row],[Part of Nassau County Vote Results]]</f>
        <v>275</v>
      </c>
      <c r="D11" s="13">
        <f>GovByAssemblyDistrict19General[[#This Row],[Total Votes by Party]]</f>
        <v>275</v>
      </c>
    </row>
    <row r="12" spans="1:4" x14ac:dyDescent="0.2">
      <c r="A12" s="4" t="s">
        <v>11</v>
      </c>
      <c r="B12" s="5">
        <v>210</v>
      </c>
      <c r="C12" s="12">
        <f>GovByAssemblyDistrict19General[[#This Row],[Part of Nassau County Vote Results]]</f>
        <v>210</v>
      </c>
      <c r="D12" s="13">
        <f>GovByAssemblyDistrict19General[[#This Row],[Total Votes by Party]]</f>
        <v>210</v>
      </c>
    </row>
    <row r="13" spans="1:4" x14ac:dyDescent="0.2">
      <c r="A13" s="4" t="s">
        <v>0</v>
      </c>
      <c r="B13" s="5">
        <v>1096</v>
      </c>
      <c r="C13" s="12">
        <f>GovByAssemblyDistrict19General[[#This Row],[Part of Nassau County Vote Results]]</f>
        <v>1096</v>
      </c>
      <c r="D13" s="14"/>
    </row>
    <row r="14" spans="1:4" x14ac:dyDescent="0.2">
      <c r="A14" s="4" t="s">
        <v>1</v>
      </c>
      <c r="B14" s="5">
        <v>90</v>
      </c>
      <c r="C14" s="12">
        <f>GovByAssemblyDistrict19General[[#This Row],[Part of Nassau County Vote Results]]</f>
        <v>90</v>
      </c>
      <c r="D14" s="14"/>
    </row>
    <row r="15" spans="1:4" x14ac:dyDescent="0.2">
      <c r="A15" s="4" t="s">
        <v>2</v>
      </c>
      <c r="B15" s="5">
        <v>29</v>
      </c>
      <c r="C15" s="12">
        <f>GovByAssemblyDistrict19General[[#This Row],[Part of Nassau County Vote Results]]</f>
        <v>29</v>
      </c>
      <c r="D15" s="14"/>
    </row>
    <row r="16" spans="1:4" hidden="1" x14ac:dyDescent="0.2">
      <c r="A16" s="4" t="s">
        <v>4</v>
      </c>
      <c r="B16" s="6">
        <f>SUBTOTAL(109,GovByAssemblyDistrict19General[Total Votes by Candidate])</f>
        <v>47661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DD3C7-5A83-4B9C-9DBD-329A5F2FA1A5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</cols>
  <sheetData>
    <row r="1" spans="1:4" ht="24.95" customHeight="1" x14ac:dyDescent="0.2">
      <c r="A1" s="1" t="s">
        <v>19</v>
      </c>
    </row>
    <row r="2" spans="1:4" ht="24.95" customHeight="1" x14ac:dyDescent="0.2">
      <c r="A2" s="7" t="s">
        <v>12</v>
      </c>
      <c r="B2" s="8" t="s">
        <v>13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22822</v>
      </c>
      <c r="C3" s="12">
        <f>GovByAssemblyDistrict2General[[#This Row],[Part of Suffolk County Vote Results]]</f>
        <v>22822</v>
      </c>
      <c r="D3" s="13">
        <f>SUM(C3,C7,C8,C9)</f>
        <v>24442</v>
      </c>
    </row>
    <row r="4" spans="1:4" x14ac:dyDescent="0.2">
      <c r="A4" s="2" t="s">
        <v>14</v>
      </c>
      <c r="B4" s="3">
        <v>24737</v>
      </c>
      <c r="C4" s="12">
        <f>GovByAssemblyDistrict2General[[#This Row],[Part of Suffolk County Vote Results]]</f>
        <v>24737</v>
      </c>
      <c r="D4" s="13">
        <f>SUM(C4,C5,C10)</f>
        <v>28177</v>
      </c>
    </row>
    <row r="5" spans="1:4" x14ac:dyDescent="0.2">
      <c r="A5" s="2" t="s">
        <v>15</v>
      </c>
      <c r="B5" s="3">
        <v>3248</v>
      </c>
      <c r="C5" s="12">
        <f>GovByAssemblyDistrict2General[[#This Row],[Part of Suffolk County Vote Results]]</f>
        <v>3248</v>
      </c>
      <c r="D5" s="14"/>
    </row>
    <row r="6" spans="1:4" x14ac:dyDescent="0.2">
      <c r="A6" s="2" t="s">
        <v>6</v>
      </c>
      <c r="B6" s="3">
        <v>481</v>
      </c>
      <c r="C6" s="12">
        <f>GovByAssemblyDistrict2General[[#This Row],[Part of Suffolk County Vote Results]]</f>
        <v>481</v>
      </c>
      <c r="D6" s="13">
        <f>GovByAssemblyDistrict2General[[#This Row],[Total Votes by Party]]</f>
        <v>481</v>
      </c>
    </row>
    <row r="7" spans="1:4" x14ac:dyDescent="0.2">
      <c r="A7" s="2" t="s">
        <v>7</v>
      </c>
      <c r="B7" s="3">
        <v>595</v>
      </c>
      <c r="C7" s="12">
        <f>GovByAssemblyDistrict2General[[#This Row],[Part of Suffolk County Vote Results]]</f>
        <v>595</v>
      </c>
      <c r="D7" s="14"/>
    </row>
    <row r="8" spans="1:4" x14ac:dyDescent="0.2">
      <c r="A8" s="2" t="s">
        <v>8</v>
      </c>
      <c r="B8" s="3">
        <v>706</v>
      </c>
      <c r="C8" s="12">
        <f>GovByAssemblyDistrict2General[[#This Row],[Part of Suffolk County Vote Results]]</f>
        <v>706</v>
      </c>
      <c r="D8" s="14"/>
    </row>
    <row r="9" spans="1:4" x14ac:dyDescent="0.2">
      <c r="A9" s="2" t="s">
        <v>9</v>
      </c>
      <c r="B9" s="3">
        <v>319</v>
      </c>
      <c r="C9" s="12">
        <f>GovByAssemblyDistrict2General[[#This Row],[Part of Suffolk County Vote Results]]</f>
        <v>319</v>
      </c>
      <c r="D9" s="14"/>
    </row>
    <row r="10" spans="1:4" x14ac:dyDescent="0.2">
      <c r="A10" s="2" t="s">
        <v>16</v>
      </c>
      <c r="B10" s="3">
        <v>192</v>
      </c>
      <c r="C10" s="12">
        <f>GovByAssemblyDistrict2General[[#This Row],[Part of Suffolk County Vote Results]]</f>
        <v>192</v>
      </c>
      <c r="D10" s="14"/>
    </row>
    <row r="11" spans="1:4" x14ac:dyDescent="0.2">
      <c r="A11" s="2" t="s">
        <v>10</v>
      </c>
      <c r="B11" s="3">
        <v>422</v>
      </c>
      <c r="C11" s="12">
        <f>GovByAssemblyDistrict2General[[#This Row],[Part of Suffolk County Vote Results]]</f>
        <v>422</v>
      </c>
      <c r="D11" s="13">
        <f>GovByAssemblyDistrict2General[[#This Row],[Total Votes by Party]]</f>
        <v>422</v>
      </c>
    </row>
    <row r="12" spans="1:4" x14ac:dyDescent="0.2">
      <c r="A12" s="4" t="s">
        <v>11</v>
      </c>
      <c r="B12" s="5">
        <v>273</v>
      </c>
      <c r="C12" s="12">
        <f>GovByAssemblyDistrict2General[[#This Row],[Part of Suffolk County Vote Results]]</f>
        <v>273</v>
      </c>
      <c r="D12" s="13">
        <f>GovByAssemblyDistrict2General[[#This Row],[Total Votes by Party]]</f>
        <v>273</v>
      </c>
    </row>
    <row r="13" spans="1:4" x14ac:dyDescent="0.2">
      <c r="A13" s="4" t="s">
        <v>0</v>
      </c>
      <c r="B13" s="5">
        <v>830</v>
      </c>
      <c r="C13" s="12">
        <f>GovByAssemblyDistrict2General[[#This Row],[Part of Suffolk County Vote Results]]</f>
        <v>830</v>
      </c>
      <c r="D13" s="14"/>
    </row>
    <row r="14" spans="1:4" x14ac:dyDescent="0.2">
      <c r="A14" s="4" t="s">
        <v>1</v>
      </c>
      <c r="B14" s="5">
        <v>46</v>
      </c>
      <c r="C14" s="12">
        <f>GovByAssemblyDistrict2General[[#This Row],[Part of Suffolk County Vote Results]]</f>
        <v>46</v>
      </c>
      <c r="D14" s="14"/>
    </row>
    <row r="15" spans="1:4" x14ac:dyDescent="0.2">
      <c r="A15" s="4" t="s">
        <v>2</v>
      </c>
      <c r="B15" s="5">
        <v>11</v>
      </c>
      <c r="C15" s="12">
        <f>GovByAssemblyDistrict2General[[#This Row],[Part of Suffolk County Vote Results]]</f>
        <v>11</v>
      </c>
      <c r="D15" s="14"/>
    </row>
    <row r="16" spans="1:4" hidden="1" x14ac:dyDescent="0.2">
      <c r="A16" s="4" t="s">
        <v>4</v>
      </c>
      <c r="B16" s="6">
        <f>SUBTOTAL(109,GovByAssemblyDistrict2General[Total Votes by Candidate])</f>
        <v>53795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6369D-902B-4D76-84BA-D783A7881D55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37</v>
      </c>
    </row>
    <row r="2" spans="1:4" ht="24.95" customHeight="1" x14ac:dyDescent="0.2">
      <c r="A2" s="7" t="s">
        <v>12</v>
      </c>
      <c r="B2" s="8" t="s">
        <v>17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23747</v>
      </c>
      <c r="C3" s="12">
        <f>GovByAssemblyDistrict20General[[#This Row],[Part of Nassau County Vote Results]]</f>
        <v>23747</v>
      </c>
      <c r="D3" s="13">
        <f>SUM(C3,C7,C8,C9)</f>
        <v>24709</v>
      </c>
    </row>
    <row r="4" spans="1:4" x14ac:dyDescent="0.2">
      <c r="A4" s="2" t="s">
        <v>14</v>
      </c>
      <c r="B4" s="3">
        <v>19032</v>
      </c>
      <c r="C4" s="12">
        <f>GovByAssemblyDistrict20General[[#This Row],[Part of Nassau County Vote Results]]</f>
        <v>19032</v>
      </c>
      <c r="D4" s="13">
        <f>SUM(C4,C5,C10)</f>
        <v>20607</v>
      </c>
    </row>
    <row r="5" spans="1:4" x14ac:dyDescent="0.2">
      <c r="A5" s="2" t="s">
        <v>15</v>
      </c>
      <c r="B5" s="3">
        <v>1406</v>
      </c>
      <c r="C5" s="12">
        <f>GovByAssemblyDistrict20General[[#This Row],[Part of Nassau County Vote Results]]</f>
        <v>1406</v>
      </c>
      <c r="D5" s="14"/>
    </row>
    <row r="6" spans="1:4" x14ac:dyDescent="0.2">
      <c r="A6" s="2" t="s">
        <v>6</v>
      </c>
      <c r="B6" s="3">
        <v>430</v>
      </c>
      <c r="C6" s="12">
        <f>GovByAssemblyDistrict20General[[#This Row],[Part of Nassau County Vote Results]]</f>
        <v>430</v>
      </c>
      <c r="D6" s="13">
        <f>GovByAssemblyDistrict20General[[#This Row],[Total Votes by Party]]</f>
        <v>430</v>
      </c>
    </row>
    <row r="7" spans="1:4" x14ac:dyDescent="0.2">
      <c r="A7" s="2" t="s">
        <v>7</v>
      </c>
      <c r="B7" s="3">
        <v>389</v>
      </c>
      <c r="C7" s="12">
        <f>GovByAssemblyDistrict20General[[#This Row],[Part of Nassau County Vote Results]]</f>
        <v>389</v>
      </c>
      <c r="D7" s="14"/>
    </row>
    <row r="8" spans="1:4" x14ac:dyDescent="0.2">
      <c r="A8" s="2" t="s">
        <v>8</v>
      </c>
      <c r="B8" s="3">
        <v>358</v>
      </c>
      <c r="C8" s="12">
        <f>GovByAssemblyDistrict20General[[#This Row],[Part of Nassau County Vote Results]]</f>
        <v>358</v>
      </c>
      <c r="D8" s="14"/>
    </row>
    <row r="9" spans="1:4" x14ac:dyDescent="0.2">
      <c r="A9" s="2" t="s">
        <v>9</v>
      </c>
      <c r="B9" s="3">
        <v>215</v>
      </c>
      <c r="C9" s="12">
        <f>GovByAssemblyDistrict20General[[#This Row],[Part of Nassau County Vote Results]]</f>
        <v>215</v>
      </c>
      <c r="D9" s="14"/>
    </row>
    <row r="10" spans="1:4" x14ac:dyDescent="0.2">
      <c r="A10" s="2" t="s">
        <v>16</v>
      </c>
      <c r="B10" s="3">
        <v>169</v>
      </c>
      <c r="C10" s="12">
        <f>GovByAssemblyDistrict20General[[#This Row],[Part of Nassau County Vote Results]]</f>
        <v>169</v>
      </c>
      <c r="D10" s="14"/>
    </row>
    <row r="11" spans="1:4" x14ac:dyDescent="0.2">
      <c r="A11" s="2" t="s">
        <v>10</v>
      </c>
      <c r="B11" s="3">
        <v>284</v>
      </c>
      <c r="C11" s="12">
        <f>GovByAssemblyDistrict20General[[#This Row],[Part of Nassau County Vote Results]]</f>
        <v>284</v>
      </c>
      <c r="D11" s="13">
        <f>GovByAssemblyDistrict20General[[#This Row],[Total Votes by Party]]</f>
        <v>284</v>
      </c>
    </row>
    <row r="12" spans="1:4" x14ac:dyDescent="0.2">
      <c r="A12" s="4" t="s">
        <v>11</v>
      </c>
      <c r="B12" s="5">
        <v>196</v>
      </c>
      <c r="C12" s="12">
        <f>GovByAssemblyDistrict20General[[#This Row],[Part of Nassau County Vote Results]]</f>
        <v>196</v>
      </c>
      <c r="D12" s="13">
        <f>GovByAssemblyDistrict20General[[#This Row],[Total Votes by Party]]</f>
        <v>196</v>
      </c>
    </row>
    <row r="13" spans="1:4" x14ac:dyDescent="0.2">
      <c r="A13" s="4" t="s">
        <v>0</v>
      </c>
      <c r="B13" s="5">
        <v>1164</v>
      </c>
      <c r="C13" s="12">
        <f>GovByAssemblyDistrict20General[[#This Row],[Part of Nassau County Vote Results]]</f>
        <v>1164</v>
      </c>
      <c r="D13" s="14"/>
    </row>
    <row r="14" spans="1:4" x14ac:dyDescent="0.2">
      <c r="A14" s="4" t="s">
        <v>1</v>
      </c>
      <c r="B14" s="5">
        <v>86</v>
      </c>
      <c r="C14" s="12">
        <f>GovByAssemblyDistrict20General[[#This Row],[Part of Nassau County Vote Results]]</f>
        <v>86</v>
      </c>
      <c r="D14" s="14"/>
    </row>
    <row r="15" spans="1:4" x14ac:dyDescent="0.2">
      <c r="A15" s="4" t="s">
        <v>2</v>
      </c>
      <c r="B15" s="5">
        <v>15</v>
      </c>
      <c r="C15" s="12">
        <f>GovByAssemblyDistrict20General[[#This Row],[Part of Nassau County Vote Results]]</f>
        <v>15</v>
      </c>
      <c r="D15" s="14"/>
    </row>
    <row r="16" spans="1:4" hidden="1" x14ac:dyDescent="0.2">
      <c r="A16" s="4" t="s">
        <v>4</v>
      </c>
      <c r="B16" s="6">
        <f>SUBTOTAL(109,GovByAssemblyDistrict20General[Total Votes by Candidate])</f>
        <v>46226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46EC0-D240-4811-BF32-9756D73F35D9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38</v>
      </c>
    </row>
    <row r="2" spans="1:4" ht="24.95" customHeight="1" x14ac:dyDescent="0.2">
      <c r="A2" s="7" t="s">
        <v>12</v>
      </c>
      <c r="B2" s="8" t="s">
        <v>17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28289</v>
      </c>
      <c r="C3" s="12">
        <f>GovByAssemblyDistrict21General[[#This Row],[Part of Nassau County Vote Results]]</f>
        <v>28289</v>
      </c>
      <c r="D3" s="13">
        <f>SUM(C3,C7,C8,C9)</f>
        <v>29522</v>
      </c>
    </row>
    <row r="4" spans="1:4" x14ac:dyDescent="0.2">
      <c r="A4" s="2" t="s">
        <v>14</v>
      </c>
      <c r="B4" s="3">
        <v>19202</v>
      </c>
      <c r="C4" s="12">
        <f>GovByAssemblyDistrict21General[[#This Row],[Part of Nassau County Vote Results]]</f>
        <v>19202</v>
      </c>
      <c r="D4" s="13">
        <f>SUM(C4,C5,C10)</f>
        <v>21287</v>
      </c>
    </row>
    <row r="5" spans="1:4" x14ac:dyDescent="0.2">
      <c r="A5" s="2" t="s">
        <v>15</v>
      </c>
      <c r="B5" s="3">
        <v>1930</v>
      </c>
      <c r="C5" s="12">
        <f>GovByAssemblyDistrict21General[[#This Row],[Part of Nassau County Vote Results]]</f>
        <v>1930</v>
      </c>
      <c r="D5" s="14"/>
    </row>
    <row r="6" spans="1:4" x14ac:dyDescent="0.2">
      <c r="A6" s="2" t="s">
        <v>6</v>
      </c>
      <c r="B6" s="3">
        <v>431</v>
      </c>
      <c r="C6" s="12">
        <f>GovByAssemblyDistrict21General[[#This Row],[Part of Nassau County Vote Results]]</f>
        <v>431</v>
      </c>
      <c r="D6" s="13">
        <f>GovByAssemblyDistrict21General[[#This Row],[Total Votes by Party]]</f>
        <v>431</v>
      </c>
    </row>
    <row r="7" spans="1:4" x14ac:dyDescent="0.2">
      <c r="A7" s="2" t="s">
        <v>7</v>
      </c>
      <c r="B7" s="3">
        <v>546</v>
      </c>
      <c r="C7" s="12">
        <f>GovByAssemblyDistrict21General[[#This Row],[Part of Nassau County Vote Results]]</f>
        <v>546</v>
      </c>
      <c r="D7" s="14"/>
    </row>
    <row r="8" spans="1:4" x14ac:dyDescent="0.2">
      <c r="A8" s="2" t="s">
        <v>8</v>
      </c>
      <c r="B8" s="3">
        <v>442</v>
      </c>
      <c r="C8" s="12">
        <f>GovByAssemblyDistrict21General[[#This Row],[Part of Nassau County Vote Results]]</f>
        <v>442</v>
      </c>
      <c r="D8" s="14"/>
    </row>
    <row r="9" spans="1:4" x14ac:dyDescent="0.2">
      <c r="A9" s="2" t="s">
        <v>9</v>
      </c>
      <c r="B9" s="3">
        <v>245</v>
      </c>
      <c r="C9" s="12">
        <f>GovByAssemblyDistrict21General[[#This Row],[Part of Nassau County Vote Results]]</f>
        <v>245</v>
      </c>
      <c r="D9" s="14"/>
    </row>
    <row r="10" spans="1:4" x14ac:dyDescent="0.2">
      <c r="A10" s="2" t="s">
        <v>16</v>
      </c>
      <c r="B10" s="3">
        <v>155</v>
      </c>
      <c r="C10" s="12">
        <f>GovByAssemblyDistrict21General[[#This Row],[Part of Nassau County Vote Results]]</f>
        <v>155</v>
      </c>
      <c r="D10" s="14"/>
    </row>
    <row r="11" spans="1:4" x14ac:dyDescent="0.2">
      <c r="A11" s="2" t="s">
        <v>10</v>
      </c>
      <c r="B11" s="3">
        <v>300</v>
      </c>
      <c r="C11" s="12">
        <f>GovByAssemblyDistrict21General[[#This Row],[Part of Nassau County Vote Results]]</f>
        <v>300</v>
      </c>
      <c r="D11" s="13">
        <f>GovByAssemblyDistrict21General[[#This Row],[Total Votes by Party]]</f>
        <v>300</v>
      </c>
    </row>
    <row r="12" spans="1:4" x14ac:dyDescent="0.2">
      <c r="A12" s="4" t="s">
        <v>11</v>
      </c>
      <c r="B12" s="5">
        <v>201</v>
      </c>
      <c r="C12" s="12">
        <f>GovByAssemblyDistrict21General[[#This Row],[Part of Nassau County Vote Results]]</f>
        <v>201</v>
      </c>
      <c r="D12" s="13">
        <f>GovByAssemblyDistrict21General[[#This Row],[Total Votes by Party]]</f>
        <v>201</v>
      </c>
    </row>
    <row r="13" spans="1:4" x14ac:dyDescent="0.2">
      <c r="A13" s="4" t="s">
        <v>0</v>
      </c>
      <c r="B13" s="5">
        <v>1181</v>
      </c>
      <c r="C13" s="12">
        <f>GovByAssemblyDistrict21General[[#This Row],[Part of Nassau County Vote Results]]</f>
        <v>1181</v>
      </c>
      <c r="D13" s="14"/>
    </row>
    <row r="14" spans="1:4" x14ac:dyDescent="0.2">
      <c r="A14" s="4" t="s">
        <v>1</v>
      </c>
      <c r="B14" s="5">
        <v>101</v>
      </c>
      <c r="C14" s="12">
        <f>GovByAssemblyDistrict21General[[#This Row],[Part of Nassau County Vote Results]]</f>
        <v>101</v>
      </c>
      <c r="D14" s="14"/>
    </row>
    <row r="15" spans="1:4" x14ac:dyDescent="0.2">
      <c r="A15" s="4" t="s">
        <v>2</v>
      </c>
      <c r="B15" s="5">
        <v>26</v>
      </c>
      <c r="C15" s="12">
        <f>GovByAssemblyDistrict21General[[#This Row],[Part of Nassau County Vote Results]]</f>
        <v>26</v>
      </c>
      <c r="D15" s="14"/>
    </row>
    <row r="16" spans="1:4" hidden="1" x14ac:dyDescent="0.2">
      <c r="A16" s="4" t="s">
        <v>4</v>
      </c>
      <c r="B16" s="6">
        <f>SUBTOTAL(109,GovByAssemblyDistrict21General[Total Votes by Candidate])</f>
        <v>51741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09525-3D37-42EA-9D5C-1FAB89F42DFC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39</v>
      </c>
    </row>
    <row r="2" spans="1:4" ht="24.95" customHeight="1" x14ac:dyDescent="0.2">
      <c r="A2" s="7" t="s">
        <v>12</v>
      </c>
      <c r="B2" s="8" t="s">
        <v>17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30472</v>
      </c>
      <c r="C3" s="12">
        <f>GovByAssemblyDistrict22General[[#This Row],[Part of Nassau County Vote Results]]</f>
        <v>30472</v>
      </c>
      <c r="D3" s="13">
        <f>SUM(C3,C7,C8,C9)</f>
        <v>31332</v>
      </c>
    </row>
    <row r="4" spans="1:4" x14ac:dyDescent="0.2">
      <c r="A4" s="2" t="s">
        <v>14</v>
      </c>
      <c r="B4" s="3">
        <v>12451</v>
      </c>
      <c r="C4" s="12">
        <f>GovByAssemblyDistrict22General[[#This Row],[Part of Nassau County Vote Results]]</f>
        <v>12451</v>
      </c>
      <c r="D4" s="13">
        <f>SUM(C4,C5,C10)</f>
        <v>13719</v>
      </c>
    </row>
    <row r="5" spans="1:4" x14ac:dyDescent="0.2">
      <c r="A5" s="2" t="s">
        <v>15</v>
      </c>
      <c r="B5" s="3">
        <v>1168</v>
      </c>
      <c r="C5" s="12">
        <f>GovByAssemblyDistrict22General[[#This Row],[Part of Nassau County Vote Results]]</f>
        <v>1168</v>
      </c>
      <c r="D5" s="14"/>
    </row>
    <row r="6" spans="1:4" x14ac:dyDescent="0.2">
      <c r="A6" s="2" t="s">
        <v>6</v>
      </c>
      <c r="B6" s="3">
        <v>362</v>
      </c>
      <c r="C6" s="12">
        <f>GovByAssemblyDistrict22General[[#This Row],[Part of Nassau County Vote Results]]</f>
        <v>362</v>
      </c>
      <c r="D6" s="13">
        <f>GovByAssemblyDistrict22General[[#This Row],[Total Votes by Party]]</f>
        <v>362</v>
      </c>
    </row>
    <row r="7" spans="1:4" x14ac:dyDescent="0.2">
      <c r="A7" s="2" t="s">
        <v>7</v>
      </c>
      <c r="B7" s="3">
        <v>426</v>
      </c>
      <c r="C7" s="12">
        <f>GovByAssemblyDistrict22General[[#This Row],[Part of Nassau County Vote Results]]</f>
        <v>426</v>
      </c>
      <c r="D7" s="14"/>
    </row>
    <row r="8" spans="1:4" x14ac:dyDescent="0.2">
      <c r="A8" s="2" t="s">
        <v>8</v>
      </c>
      <c r="B8" s="3">
        <v>313</v>
      </c>
      <c r="C8" s="12">
        <f>GovByAssemblyDistrict22General[[#This Row],[Part of Nassau County Vote Results]]</f>
        <v>313</v>
      </c>
      <c r="D8" s="14"/>
    </row>
    <row r="9" spans="1:4" x14ac:dyDescent="0.2">
      <c r="A9" s="2" t="s">
        <v>9</v>
      </c>
      <c r="B9" s="3">
        <v>121</v>
      </c>
      <c r="C9" s="12">
        <f>GovByAssemblyDistrict22General[[#This Row],[Part of Nassau County Vote Results]]</f>
        <v>121</v>
      </c>
      <c r="D9" s="14"/>
    </row>
    <row r="10" spans="1:4" x14ac:dyDescent="0.2">
      <c r="A10" s="2" t="s">
        <v>16</v>
      </c>
      <c r="B10" s="3">
        <v>100</v>
      </c>
      <c r="C10" s="12">
        <f>GovByAssemblyDistrict22General[[#This Row],[Part of Nassau County Vote Results]]</f>
        <v>100</v>
      </c>
      <c r="D10" s="14"/>
    </row>
    <row r="11" spans="1:4" x14ac:dyDescent="0.2">
      <c r="A11" s="2" t="s">
        <v>10</v>
      </c>
      <c r="B11" s="3">
        <v>231</v>
      </c>
      <c r="C11" s="12">
        <f>GovByAssemblyDistrict22General[[#This Row],[Part of Nassau County Vote Results]]</f>
        <v>231</v>
      </c>
      <c r="D11" s="13">
        <f>GovByAssemblyDistrict22General[[#This Row],[Total Votes by Party]]</f>
        <v>231</v>
      </c>
    </row>
    <row r="12" spans="1:4" x14ac:dyDescent="0.2">
      <c r="A12" s="4" t="s">
        <v>11</v>
      </c>
      <c r="B12" s="5">
        <v>145</v>
      </c>
      <c r="C12" s="12">
        <f>GovByAssemblyDistrict22General[[#This Row],[Part of Nassau County Vote Results]]</f>
        <v>145</v>
      </c>
      <c r="D12" s="13">
        <f>GovByAssemblyDistrict22General[[#This Row],[Total Votes by Party]]</f>
        <v>145</v>
      </c>
    </row>
    <row r="13" spans="1:4" x14ac:dyDescent="0.2">
      <c r="A13" s="4" t="s">
        <v>0</v>
      </c>
      <c r="B13" s="5">
        <v>922</v>
      </c>
      <c r="C13" s="12">
        <f>GovByAssemblyDistrict22General[[#This Row],[Part of Nassau County Vote Results]]</f>
        <v>922</v>
      </c>
      <c r="D13" s="14"/>
    </row>
    <row r="14" spans="1:4" x14ac:dyDescent="0.2">
      <c r="A14" s="4" t="s">
        <v>1</v>
      </c>
      <c r="B14" s="5">
        <v>113</v>
      </c>
      <c r="C14" s="12">
        <f>GovByAssemblyDistrict22General[[#This Row],[Part of Nassau County Vote Results]]</f>
        <v>113</v>
      </c>
      <c r="D14" s="14"/>
    </row>
    <row r="15" spans="1:4" x14ac:dyDescent="0.2">
      <c r="A15" s="4" t="s">
        <v>2</v>
      </c>
      <c r="B15" s="5">
        <v>22</v>
      </c>
      <c r="C15" s="12">
        <f>GovByAssemblyDistrict22General[[#This Row],[Part of Nassau County Vote Results]]</f>
        <v>22</v>
      </c>
      <c r="D15" s="14"/>
    </row>
    <row r="16" spans="1:4" hidden="1" x14ac:dyDescent="0.2">
      <c r="A16" s="4" t="s">
        <v>4</v>
      </c>
      <c r="B16" s="6">
        <f>SUBTOTAL(109,GovByAssemblyDistrict22General[Total Votes by Candidate])</f>
        <v>45789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370E2-21BC-4BEA-9C07-8AC73F69A567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40</v>
      </c>
    </row>
    <row r="2" spans="1:4" ht="24.95" customHeight="1" x14ac:dyDescent="0.2">
      <c r="A2" s="7" t="s">
        <v>12</v>
      </c>
      <c r="B2" s="8" t="s">
        <v>41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17352</v>
      </c>
      <c r="C3" s="12">
        <f>GovByAssemblyDistrict23General[[#This Row],[Part of Queens County Vote Results]]</f>
        <v>17352</v>
      </c>
      <c r="D3" s="13">
        <f>SUM(C3,C7,C8,C9)</f>
        <v>18102</v>
      </c>
    </row>
    <row r="4" spans="1:4" x14ac:dyDescent="0.2">
      <c r="A4" s="2" t="s">
        <v>14</v>
      </c>
      <c r="B4" s="3">
        <v>10477</v>
      </c>
      <c r="C4" s="12">
        <f>GovByAssemblyDistrict23General[[#This Row],[Part of Queens County Vote Results]]</f>
        <v>10477</v>
      </c>
      <c r="D4" s="13">
        <f>SUM(C4,C5,C10)</f>
        <v>11877</v>
      </c>
    </row>
    <row r="5" spans="1:4" x14ac:dyDescent="0.2">
      <c r="A5" s="2" t="s">
        <v>15</v>
      </c>
      <c r="B5" s="3">
        <v>1323</v>
      </c>
      <c r="C5" s="12">
        <f>GovByAssemblyDistrict23General[[#This Row],[Part of Queens County Vote Results]]</f>
        <v>1323</v>
      </c>
      <c r="D5" s="14"/>
    </row>
    <row r="6" spans="1:4" x14ac:dyDescent="0.2">
      <c r="A6" s="2" t="s">
        <v>6</v>
      </c>
      <c r="B6" s="3">
        <v>314</v>
      </c>
      <c r="C6" s="12">
        <f>GovByAssemblyDistrict23General[[#This Row],[Part of Queens County Vote Results]]</f>
        <v>314</v>
      </c>
      <c r="D6" s="13">
        <f>GovByAssemblyDistrict23General[[#This Row],[Total Votes by Party]]</f>
        <v>314</v>
      </c>
    </row>
    <row r="7" spans="1:4" x14ac:dyDescent="0.2">
      <c r="A7" s="2" t="s">
        <v>7</v>
      </c>
      <c r="B7" s="3">
        <v>388</v>
      </c>
      <c r="C7" s="12">
        <f>GovByAssemblyDistrict23General[[#This Row],[Part of Queens County Vote Results]]</f>
        <v>388</v>
      </c>
      <c r="D7" s="14"/>
    </row>
    <row r="8" spans="1:4" x14ac:dyDescent="0.2">
      <c r="A8" s="2" t="s">
        <v>8</v>
      </c>
      <c r="B8" s="3">
        <v>299</v>
      </c>
      <c r="C8" s="12">
        <f>GovByAssemblyDistrict23General[[#This Row],[Part of Queens County Vote Results]]</f>
        <v>299</v>
      </c>
      <c r="D8" s="14"/>
    </row>
    <row r="9" spans="1:4" x14ac:dyDescent="0.2">
      <c r="A9" s="2" t="s">
        <v>9</v>
      </c>
      <c r="B9" s="3">
        <v>63</v>
      </c>
      <c r="C9" s="12">
        <f>GovByAssemblyDistrict23General[[#This Row],[Part of Queens County Vote Results]]</f>
        <v>63</v>
      </c>
      <c r="D9" s="14"/>
    </row>
    <row r="10" spans="1:4" x14ac:dyDescent="0.2">
      <c r="A10" s="2" t="s">
        <v>16</v>
      </c>
      <c r="B10" s="3">
        <v>77</v>
      </c>
      <c r="C10" s="12">
        <f>GovByAssemblyDistrict23General[[#This Row],[Part of Queens County Vote Results]]</f>
        <v>77</v>
      </c>
      <c r="D10" s="14"/>
    </row>
    <row r="11" spans="1:4" x14ac:dyDescent="0.2">
      <c r="A11" s="2" t="s">
        <v>10</v>
      </c>
      <c r="B11" s="3">
        <v>215</v>
      </c>
      <c r="C11" s="12">
        <f>GovByAssemblyDistrict23General[[#This Row],[Part of Queens County Vote Results]]</f>
        <v>215</v>
      </c>
      <c r="D11" s="13">
        <f>GovByAssemblyDistrict23General[[#This Row],[Total Votes by Party]]</f>
        <v>215</v>
      </c>
    </row>
    <row r="12" spans="1:4" x14ac:dyDescent="0.2">
      <c r="A12" s="4" t="s">
        <v>11</v>
      </c>
      <c r="B12" s="5">
        <v>56</v>
      </c>
      <c r="C12" s="12">
        <f>GovByAssemblyDistrict23General[[#This Row],[Part of Queens County Vote Results]]</f>
        <v>56</v>
      </c>
      <c r="D12" s="13">
        <f>GovByAssemblyDistrict23General[[#This Row],[Total Votes by Party]]</f>
        <v>56</v>
      </c>
    </row>
    <row r="13" spans="1:4" x14ac:dyDescent="0.2">
      <c r="A13" s="4" t="s">
        <v>0</v>
      </c>
      <c r="B13" s="5">
        <v>542</v>
      </c>
      <c r="C13" s="12">
        <f>GovByAssemblyDistrict23General[[#This Row],[Part of Queens County Vote Results]]</f>
        <v>542</v>
      </c>
      <c r="D13" s="14"/>
    </row>
    <row r="14" spans="1:4" x14ac:dyDescent="0.2">
      <c r="A14" s="4" t="s">
        <v>1</v>
      </c>
      <c r="B14" s="5">
        <v>0</v>
      </c>
      <c r="C14" s="12">
        <f>GovByAssemblyDistrict23General[[#This Row],[Part of Queens County Vote Results]]</f>
        <v>0</v>
      </c>
      <c r="D14" s="14"/>
    </row>
    <row r="15" spans="1:4" x14ac:dyDescent="0.2">
      <c r="A15" s="4" t="s">
        <v>2</v>
      </c>
      <c r="B15" s="5">
        <v>37</v>
      </c>
      <c r="C15" s="12">
        <f>GovByAssemblyDistrict23General[[#This Row],[Part of Queens County Vote Results]]</f>
        <v>37</v>
      </c>
      <c r="D15" s="14"/>
    </row>
    <row r="16" spans="1:4" hidden="1" x14ac:dyDescent="0.2">
      <c r="A16" s="4" t="s">
        <v>4</v>
      </c>
      <c r="B16" s="6">
        <f>SUBTOTAL(109,GovByAssemblyDistrict23General[Total Votes by Candidate])</f>
        <v>30564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913B1-0794-4781-BD22-9CB734EB6354}">
  <dimension ref="A1:D16"/>
  <sheetViews>
    <sheetView workbookViewId="0">
      <selection activeCell="B19" sqref="B19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42</v>
      </c>
    </row>
    <row r="2" spans="1:4" ht="24.95" customHeight="1" x14ac:dyDescent="0.2">
      <c r="A2" s="7" t="s">
        <v>12</v>
      </c>
      <c r="B2" s="8" t="s">
        <v>41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20465</v>
      </c>
      <c r="C3" s="12">
        <f>GovByAssemblyDistrict24General[[#This Row],[Part of Queens County Vote Results]]</f>
        <v>20465</v>
      </c>
      <c r="D3" s="13">
        <f>SUM(C3,C7,C8,C9)</f>
        <v>21136</v>
      </c>
    </row>
    <row r="4" spans="1:4" x14ac:dyDescent="0.2">
      <c r="A4" s="2" t="s">
        <v>14</v>
      </c>
      <c r="B4" s="3">
        <v>4387</v>
      </c>
      <c r="C4" s="12">
        <f>GovByAssemblyDistrict24General[[#This Row],[Part of Queens County Vote Results]]</f>
        <v>4387</v>
      </c>
      <c r="D4" s="13">
        <f>SUM(C4,C5,C10)</f>
        <v>4903</v>
      </c>
    </row>
    <row r="5" spans="1:4" x14ac:dyDescent="0.2">
      <c r="A5" s="2" t="s">
        <v>15</v>
      </c>
      <c r="B5" s="3">
        <v>472</v>
      </c>
      <c r="C5" s="12">
        <f>GovByAssemblyDistrict24General[[#This Row],[Part of Queens County Vote Results]]</f>
        <v>472</v>
      </c>
      <c r="D5" s="14"/>
    </row>
    <row r="6" spans="1:4" x14ac:dyDescent="0.2">
      <c r="A6" s="2" t="s">
        <v>6</v>
      </c>
      <c r="B6" s="3">
        <v>349</v>
      </c>
      <c r="C6" s="12">
        <f>GovByAssemblyDistrict24General[[#This Row],[Part of Queens County Vote Results]]</f>
        <v>349</v>
      </c>
      <c r="D6" s="13">
        <f>GovByAssemblyDistrict24General[[#This Row],[Total Votes by Party]]</f>
        <v>349</v>
      </c>
    </row>
    <row r="7" spans="1:4" x14ac:dyDescent="0.2">
      <c r="A7" s="2" t="s">
        <v>7</v>
      </c>
      <c r="B7" s="3">
        <v>334</v>
      </c>
      <c r="C7" s="12">
        <f>GovByAssemblyDistrict24General[[#This Row],[Part of Queens County Vote Results]]</f>
        <v>334</v>
      </c>
      <c r="D7" s="14"/>
    </row>
    <row r="8" spans="1:4" x14ac:dyDescent="0.2">
      <c r="A8" s="2" t="s">
        <v>8</v>
      </c>
      <c r="B8" s="3">
        <v>279</v>
      </c>
      <c r="C8" s="12">
        <f>GovByAssemblyDistrict24General[[#This Row],[Part of Queens County Vote Results]]</f>
        <v>279</v>
      </c>
      <c r="D8" s="14"/>
    </row>
    <row r="9" spans="1:4" x14ac:dyDescent="0.2">
      <c r="A9" s="2" t="s">
        <v>9</v>
      </c>
      <c r="B9" s="3">
        <v>58</v>
      </c>
      <c r="C9" s="12">
        <f>GovByAssemblyDistrict24General[[#This Row],[Part of Queens County Vote Results]]</f>
        <v>58</v>
      </c>
      <c r="D9" s="14"/>
    </row>
    <row r="10" spans="1:4" x14ac:dyDescent="0.2">
      <c r="A10" s="2" t="s">
        <v>16</v>
      </c>
      <c r="B10" s="3">
        <v>44</v>
      </c>
      <c r="C10" s="12">
        <f>GovByAssemblyDistrict24General[[#This Row],[Part of Queens County Vote Results]]</f>
        <v>44</v>
      </c>
      <c r="D10" s="14"/>
    </row>
    <row r="11" spans="1:4" x14ac:dyDescent="0.2">
      <c r="A11" s="2" t="s">
        <v>10</v>
      </c>
      <c r="B11" s="3">
        <v>119</v>
      </c>
      <c r="C11" s="12">
        <f>GovByAssemblyDistrict24General[[#This Row],[Part of Queens County Vote Results]]</f>
        <v>119</v>
      </c>
      <c r="D11" s="13">
        <f>GovByAssemblyDistrict24General[[#This Row],[Total Votes by Party]]</f>
        <v>119</v>
      </c>
    </row>
    <row r="12" spans="1:4" x14ac:dyDescent="0.2">
      <c r="A12" s="4" t="s">
        <v>11</v>
      </c>
      <c r="B12" s="5">
        <v>75</v>
      </c>
      <c r="C12" s="12">
        <f>GovByAssemblyDistrict24General[[#This Row],[Part of Queens County Vote Results]]</f>
        <v>75</v>
      </c>
      <c r="D12" s="13">
        <f>GovByAssemblyDistrict24General[[#This Row],[Total Votes by Party]]</f>
        <v>75</v>
      </c>
    </row>
    <row r="13" spans="1:4" x14ac:dyDescent="0.2">
      <c r="A13" s="4" t="s">
        <v>0</v>
      </c>
      <c r="B13" s="5">
        <v>484</v>
      </c>
      <c r="C13" s="12">
        <f>GovByAssemblyDistrict24General[[#This Row],[Part of Queens County Vote Results]]</f>
        <v>484</v>
      </c>
      <c r="D13" s="14"/>
    </row>
    <row r="14" spans="1:4" x14ac:dyDescent="0.2">
      <c r="A14" s="4" t="s">
        <v>1</v>
      </c>
      <c r="B14" s="5">
        <v>0</v>
      </c>
      <c r="C14" s="12">
        <f>GovByAssemblyDistrict24General[[#This Row],[Part of Queens County Vote Results]]</f>
        <v>0</v>
      </c>
      <c r="D14" s="14"/>
    </row>
    <row r="15" spans="1:4" x14ac:dyDescent="0.2">
      <c r="A15" s="4" t="s">
        <v>2</v>
      </c>
      <c r="B15" s="5">
        <v>28</v>
      </c>
      <c r="C15" s="12">
        <f>GovByAssemblyDistrict24General[[#This Row],[Part of Queens County Vote Results]]</f>
        <v>28</v>
      </c>
      <c r="D15" s="14"/>
    </row>
    <row r="16" spans="1:4" hidden="1" x14ac:dyDescent="0.2">
      <c r="A16" s="4" t="s">
        <v>4</v>
      </c>
      <c r="B16" s="6">
        <f>SUBTOTAL(109,GovByAssemblyDistrict24General[Total Votes by Candidate])</f>
        <v>26582</v>
      </c>
      <c r="C16" s="6"/>
      <c r="D16" s="9"/>
    </row>
  </sheetData>
  <pageMargins left="0.7" right="0.7" top="0.75" bottom="0.75" header="0.3" footer="0.3"/>
  <pageSetup paperSize="5" orientation="landscape" r:id="rId1"/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A8DE4-C51A-41F6-AE42-0E7A1BB6A117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43</v>
      </c>
    </row>
    <row r="2" spans="1:4" ht="24.95" customHeight="1" x14ac:dyDescent="0.2">
      <c r="A2" s="7" t="s">
        <v>12</v>
      </c>
      <c r="B2" s="8" t="s">
        <v>41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15057</v>
      </c>
      <c r="C3" s="12">
        <f>GovByAssemblyDistrict25General[[#This Row],[Part of Queens County Vote Results]]</f>
        <v>15057</v>
      </c>
      <c r="D3" s="13">
        <f>SUM(C3,C7,C8,C9)</f>
        <v>15748</v>
      </c>
    </row>
    <row r="4" spans="1:4" x14ac:dyDescent="0.2">
      <c r="A4" s="2" t="s">
        <v>14</v>
      </c>
      <c r="B4" s="3">
        <v>6185</v>
      </c>
      <c r="C4" s="12">
        <f>GovByAssemblyDistrict25General[[#This Row],[Part of Queens County Vote Results]]</f>
        <v>6185</v>
      </c>
      <c r="D4" s="13">
        <f>SUM(C4,C5,C10)</f>
        <v>6814</v>
      </c>
    </row>
    <row r="5" spans="1:4" x14ac:dyDescent="0.2">
      <c r="A5" s="2" t="s">
        <v>15</v>
      </c>
      <c r="B5" s="3">
        <v>591</v>
      </c>
      <c r="C5" s="12">
        <f>GovByAssemblyDistrict25General[[#This Row],[Part of Queens County Vote Results]]</f>
        <v>591</v>
      </c>
      <c r="D5" s="14"/>
    </row>
    <row r="6" spans="1:4" x14ac:dyDescent="0.2">
      <c r="A6" s="2" t="s">
        <v>6</v>
      </c>
      <c r="B6" s="3">
        <v>416</v>
      </c>
      <c r="C6" s="12">
        <f>GovByAssemblyDistrict25General[[#This Row],[Part of Queens County Vote Results]]</f>
        <v>416</v>
      </c>
      <c r="D6" s="13">
        <f>GovByAssemblyDistrict25General[[#This Row],[Total Votes by Party]]</f>
        <v>416</v>
      </c>
    </row>
    <row r="7" spans="1:4" x14ac:dyDescent="0.2">
      <c r="A7" s="2" t="s">
        <v>7</v>
      </c>
      <c r="B7" s="3">
        <v>343</v>
      </c>
      <c r="C7" s="12">
        <f>GovByAssemblyDistrict25General[[#This Row],[Part of Queens County Vote Results]]</f>
        <v>343</v>
      </c>
      <c r="D7" s="14"/>
    </row>
    <row r="8" spans="1:4" x14ac:dyDescent="0.2">
      <c r="A8" s="2" t="s">
        <v>8</v>
      </c>
      <c r="B8" s="3">
        <v>288</v>
      </c>
      <c r="C8" s="12">
        <f>GovByAssemblyDistrict25General[[#This Row],[Part of Queens County Vote Results]]</f>
        <v>288</v>
      </c>
      <c r="D8" s="14"/>
    </row>
    <row r="9" spans="1:4" x14ac:dyDescent="0.2">
      <c r="A9" s="2" t="s">
        <v>9</v>
      </c>
      <c r="B9" s="3">
        <v>60</v>
      </c>
      <c r="C9" s="12">
        <f>GovByAssemblyDistrict25General[[#This Row],[Part of Queens County Vote Results]]</f>
        <v>60</v>
      </c>
      <c r="D9" s="14"/>
    </row>
    <row r="10" spans="1:4" x14ac:dyDescent="0.2">
      <c r="A10" s="2" t="s">
        <v>16</v>
      </c>
      <c r="B10" s="3">
        <v>38</v>
      </c>
      <c r="C10" s="12">
        <f>GovByAssemblyDistrict25General[[#This Row],[Part of Queens County Vote Results]]</f>
        <v>38</v>
      </c>
      <c r="D10" s="14"/>
    </row>
    <row r="11" spans="1:4" x14ac:dyDescent="0.2">
      <c r="A11" s="2" t="s">
        <v>10</v>
      </c>
      <c r="B11" s="3">
        <v>171</v>
      </c>
      <c r="C11" s="12">
        <f>GovByAssemblyDistrict25General[[#This Row],[Part of Queens County Vote Results]]</f>
        <v>171</v>
      </c>
      <c r="D11" s="13">
        <f>GovByAssemblyDistrict25General[[#This Row],[Total Votes by Party]]</f>
        <v>171</v>
      </c>
    </row>
    <row r="12" spans="1:4" x14ac:dyDescent="0.2">
      <c r="A12" s="4" t="s">
        <v>11</v>
      </c>
      <c r="B12" s="5">
        <v>103</v>
      </c>
      <c r="C12" s="12">
        <f>GovByAssemblyDistrict25General[[#This Row],[Part of Queens County Vote Results]]</f>
        <v>103</v>
      </c>
      <c r="D12" s="13">
        <f>GovByAssemblyDistrict25General[[#This Row],[Total Votes by Party]]</f>
        <v>103</v>
      </c>
    </row>
    <row r="13" spans="1:4" x14ac:dyDescent="0.2">
      <c r="A13" s="4" t="s">
        <v>0</v>
      </c>
      <c r="B13" s="5">
        <v>416</v>
      </c>
      <c r="C13" s="12">
        <f>GovByAssemblyDistrict25General[[#This Row],[Part of Queens County Vote Results]]</f>
        <v>416</v>
      </c>
      <c r="D13" s="14"/>
    </row>
    <row r="14" spans="1:4" x14ac:dyDescent="0.2">
      <c r="A14" s="4" t="s">
        <v>1</v>
      </c>
      <c r="B14" s="5">
        <v>0</v>
      </c>
      <c r="C14" s="12">
        <f>GovByAssemblyDistrict25General[[#This Row],[Part of Queens County Vote Results]]</f>
        <v>0</v>
      </c>
      <c r="D14" s="14"/>
    </row>
    <row r="15" spans="1:4" x14ac:dyDescent="0.2">
      <c r="A15" s="4" t="s">
        <v>2</v>
      </c>
      <c r="B15" s="5">
        <v>22</v>
      </c>
      <c r="C15" s="12">
        <f>GovByAssemblyDistrict25General[[#This Row],[Part of Queens County Vote Results]]</f>
        <v>22</v>
      </c>
      <c r="D15" s="14"/>
    </row>
    <row r="16" spans="1:4" hidden="1" x14ac:dyDescent="0.2">
      <c r="A16" s="4" t="s">
        <v>4</v>
      </c>
      <c r="B16" s="6">
        <f>SUBTOTAL(109,GovByAssemblyDistrict25General[Total Votes by Candidate])</f>
        <v>23252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6ED51-18EB-4BD7-80F7-81C3D10BBA67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44</v>
      </c>
    </row>
    <row r="2" spans="1:4" ht="24.95" customHeight="1" x14ac:dyDescent="0.2">
      <c r="A2" s="7" t="s">
        <v>12</v>
      </c>
      <c r="B2" s="8" t="s">
        <v>41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20264</v>
      </c>
      <c r="C3" s="12">
        <f>GovByAssemblyDistrict26General[[#This Row],[Part of Queens County Vote Results]]</f>
        <v>20264</v>
      </c>
      <c r="D3" s="13">
        <f>SUM(C3,C7,C8,C9)</f>
        <v>21356</v>
      </c>
    </row>
    <row r="4" spans="1:4" x14ac:dyDescent="0.2">
      <c r="A4" s="2" t="s">
        <v>14</v>
      </c>
      <c r="B4" s="3">
        <v>10998</v>
      </c>
      <c r="C4" s="12">
        <f>GovByAssemblyDistrict26General[[#This Row],[Part of Queens County Vote Results]]</f>
        <v>10998</v>
      </c>
      <c r="D4" s="13">
        <f>SUM(C4,C5,C10)</f>
        <v>12221</v>
      </c>
    </row>
    <row r="5" spans="1:4" x14ac:dyDescent="0.2">
      <c r="A5" s="2" t="s">
        <v>15</v>
      </c>
      <c r="B5" s="3">
        <v>1135</v>
      </c>
      <c r="C5" s="12">
        <f>GovByAssemblyDistrict26General[[#This Row],[Part of Queens County Vote Results]]</f>
        <v>1135</v>
      </c>
      <c r="D5" s="14"/>
    </row>
    <row r="6" spans="1:4" x14ac:dyDescent="0.2">
      <c r="A6" s="2" t="s">
        <v>6</v>
      </c>
      <c r="B6" s="3">
        <v>498</v>
      </c>
      <c r="C6" s="12">
        <f>GovByAssemblyDistrict26General[[#This Row],[Part of Queens County Vote Results]]</f>
        <v>498</v>
      </c>
      <c r="D6" s="13">
        <f>GovByAssemblyDistrict26General[[#This Row],[Total Votes by Party]]</f>
        <v>498</v>
      </c>
    </row>
    <row r="7" spans="1:4" x14ac:dyDescent="0.2">
      <c r="A7" s="2" t="s">
        <v>7</v>
      </c>
      <c r="B7" s="3">
        <v>535</v>
      </c>
      <c r="C7" s="12">
        <f>GovByAssemblyDistrict26General[[#This Row],[Part of Queens County Vote Results]]</f>
        <v>535</v>
      </c>
      <c r="D7" s="14"/>
    </row>
    <row r="8" spans="1:4" x14ac:dyDescent="0.2">
      <c r="A8" s="2" t="s">
        <v>8</v>
      </c>
      <c r="B8" s="3">
        <v>478</v>
      </c>
      <c r="C8" s="12">
        <f>GovByAssemblyDistrict26General[[#This Row],[Part of Queens County Vote Results]]</f>
        <v>478</v>
      </c>
      <c r="D8" s="14"/>
    </row>
    <row r="9" spans="1:4" x14ac:dyDescent="0.2">
      <c r="A9" s="2" t="s">
        <v>9</v>
      </c>
      <c r="B9" s="3">
        <v>79</v>
      </c>
      <c r="C9" s="12">
        <f>GovByAssemblyDistrict26General[[#This Row],[Part of Queens County Vote Results]]</f>
        <v>79</v>
      </c>
      <c r="D9" s="14"/>
    </row>
    <row r="10" spans="1:4" x14ac:dyDescent="0.2">
      <c r="A10" s="2" t="s">
        <v>16</v>
      </c>
      <c r="B10" s="3">
        <v>88</v>
      </c>
      <c r="C10" s="12">
        <f>GovByAssemblyDistrict26General[[#This Row],[Part of Queens County Vote Results]]</f>
        <v>88</v>
      </c>
      <c r="D10" s="14"/>
    </row>
    <row r="11" spans="1:4" x14ac:dyDescent="0.2">
      <c r="A11" s="2" t="s">
        <v>10</v>
      </c>
      <c r="B11" s="3">
        <v>241</v>
      </c>
      <c r="C11" s="12">
        <f>GovByAssemblyDistrict26General[[#This Row],[Part of Queens County Vote Results]]</f>
        <v>241</v>
      </c>
      <c r="D11" s="13">
        <f>GovByAssemblyDistrict26General[[#This Row],[Total Votes by Party]]</f>
        <v>241</v>
      </c>
    </row>
    <row r="12" spans="1:4" x14ac:dyDescent="0.2">
      <c r="A12" s="4" t="s">
        <v>11</v>
      </c>
      <c r="B12" s="5">
        <v>110</v>
      </c>
      <c r="C12" s="12">
        <f>GovByAssemblyDistrict26General[[#This Row],[Part of Queens County Vote Results]]</f>
        <v>110</v>
      </c>
      <c r="D12" s="13">
        <f>GovByAssemblyDistrict26General[[#This Row],[Total Votes by Party]]</f>
        <v>110</v>
      </c>
    </row>
    <row r="13" spans="1:4" x14ac:dyDescent="0.2">
      <c r="A13" s="4" t="s">
        <v>0</v>
      </c>
      <c r="B13" s="5">
        <v>810</v>
      </c>
      <c r="C13" s="12">
        <f>GovByAssemblyDistrict26General[[#This Row],[Part of Queens County Vote Results]]</f>
        <v>810</v>
      </c>
      <c r="D13" s="14"/>
    </row>
    <row r="14" spans="1:4" x14ac:dyDescent="0.2">
      <c r="A14" s="4" t="s">
        <v>1</v>
      </c>
      <c r="B14" s="5">
        <v>0</v>
      </c>
      <c r="C14" s="12">
        <f>GovByAssemblyDistrict26General[[#This Row],[Part of Queens County Vote Results]]</f>
        <v>0</v>
      </c>
      <c r="D14" s="14"/>
    </row>
    <row r="15" spans="1:4" x14ac:dyDescent="0.2">
      <c r="A15" s="4" t="s">
        <v>2</v>
      </c>
      <c r="B15" s="5">
        <v>22</v>
      </c>
      <c r="C15" s="12">
        <f>GovByAssemblyDistrict26General[[#This Row],[Part of Queens County Vote Results]]</f>
        <v>22</v>
      </c>
      <c r="D15" s="14"/>
    </row>
    <row r="16" spans="1:4" hidden="1" x14ac:dyDescent="0.2">
      <c r="A16" s="4" t="s">
        <v>4</v>
      </c>
      <c r="B16" s="6">
        <f>SUBTOTAL(109,GovByAssemblyDistrict26General[Total Votes by Candidate])</f>
        <v>34426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56A83-FB59-432F-8862-ECBBAF3420AC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45</v>
      </c>
    </row>
    <row r="2" spans="1:4" ht="24.95" customHeight="1" x14ac:dyDescent="0.2">
      <c r="A2" s="7" t="s">
        <v>12</v>
      </c>
      <c r="B2" s="8" t="s">
        <v>41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17896</v>
      </c>
      <c r="C3" s="12">
        <f>GovByAssemblyDistrict27General[[#This Row],[Part of Queens County Vote Results]]</f>
        <v>17896</v>
      </c>
      <c r="D3" s="13">
        <f>SUM(C3,C7,C8,C9)</f>
        <v>18767</v>
      </c>
    </row>
    <row r="4" spans="1:4" x14ac:dyDescent="0.2">
      <c r="A4" s="2" t="s">
        <v>14</v>
      </c>
      <c r="B4" s="3">
        <v>6037</v>
      </c>
      <c r="C4" s="12">
        <f>GovByAssemblyDistrict27General[[#This Row],[Part of Queens County Vote Results]]</f>
        <v>6037</v>
      </c>
      <c r="D4" s="13">
        <f>SUM(C4,C5,C10)</f>
        <v>6649</v>
      </c>
    </row>
    <row r="5" spans="1:4" x14ac:dyDescent="0.2">
      <c r="A5" s="2" t="s">
        <v>15</v>
      </c>
      <c r="B5" s="3">
        <v>569</v>
      </c>
      <c r="C5" s="12">
        <f>GovByAssemblyDistrict27General[[#This Row],[Part of Queens County Vote Results]]</f>
        <v>569</v>
      </c>
      <c r="D5" s="14"/>
    </row>
    <row r="6" spans="1:4" x14ac:dyDescent="0.2">
      <c r="A6" s="2" t="s">
        <v>6</v>
      </c>
      <c r="B6" s="3">
        <v>420</v>
      </c>
      <c r="C6" s="12">
        <f>GovByAssemblyDistrict27General[[#This Row],[Part of Queens County Vote Results]]</f>
        <v>420</v>
      </c>
      <c r="D6" s="13">
        <f>GovByAssemblyDistrict27General[[#This Row],[Total Votes by Party]]</f>
        <v>420</v>
      </c>
    </row>
    <row r="7" spans="1:4" x14ac:dyDescent="0.2">
      <c r="A7" s="2" t="s">
        <v>7</v>
      </c>
      <c r="B7" s="3">
        <v>478</v>
      </c>
      <c r="C7" s="12">
        <f>GovByAssemblyDistrict27General[[#This Row],[Part of Queens County Vote Results]]</f>
        <v>478</v>
      </c>
      <c r="D7" s="14"/>
    </row>
    <row r="8" spans="1:4" x14ac:dyDescent="0.2">
      <c r="A8" s="2" t="s">
        <v>8</v>
      </c>
      <c r="B8" s="3">
        <v>309</v>
      </c>
      <c r="C8" s="12">
        <f>GovByAssemblyDistrict27General[[#This Row],[Part of Queens County Vote Results]]</f>
        <v>309</v>
      </c>
      <c r="D8" s="14"/>
    </row>
    <row r="9" spans="1:4" x14ac:dyDescent="0.2">
      <c r="A9" s="2" t="s">
        <v>9</v>
      </c>
      <c r="B9" s="3">
        <v>84</v>
      </c>
      <c r="C9" s="12">
        <f>GovByAssemblyDistrict27General[[#This Row],[Part of Queens County Vote Results]]</f>
        <v>84</v>
      </c>
      <c r="D9" s="14"/>
    </row>
    <row r="10" spans="1:4" x14ac:dyDescent="0.2">
      <c r="A10" s="2" t="s">
        <v>16</v>
      </c>
      <c r="B10" s="3">
        <v>43</v>
      </c>
      <c r="C10" s="12">
        <f>GovByAssemblyDistrict27General[[#This Row],[Part of Queens County Vote Results]]</f>
        <v>43</v>
      </c>
      <c r="D10" s="14"/>
    </row>
    <row r="11" spans="1:4" x14ac:dyDescent="0.2">
      <c r="A11" s="2" t="s">
        <v>10</v>
      </c>
      <c r="B11" s="3">
        <v>157</v>
      </c>
      <c r="C11" s="12">
        <f>GovByAssemblyDistrict27General[[#This Row],[Part of Queens County Vote Results]]</f>
        <v>157</v>
      </c>
      <c r="D11" s="13">
        <f>GovByAssemblyDistrict27General[[#This Row],[Total Votes by Party]]</f>
        <v>157</v>
      </c>
    </row>
    <row r="12" spans="1:4" x14ac:dyDescent="0.2">
      <c r="A12" s="4" t="s">
        <v>11</v>
      </c>
      <c r="B12" s="5">
        <v>106</v>
      </c>
      <c r="C12" s="12">
        <f>GovByAssemblyDistrict27General[[#This Row],[Part of Queens County Vote Results]]</f>
        <v>106</v>
      </c>
      <c r="D12" s="13">
        <f>GovByAssemblyDistrict27General[[#This Row],[Total Votes by Party]]</f>
        <v>106</v>
      </c>
    </row>
    <row r="13" spans="1:4" x14ac:dyDescent="0.2">
      <c r="A13" s="4" t="s">
        <v>0</v>
      </c>
      <c r="B13" s="5">
        <v>478</v>
      </c>
      <c r="C13" s="12">
        <f>GovByAssemblyDistrict27General[[#This Row],[Part of Queens County Vote Results]]</f>
        <v>478</v>
      </c>
      <c r="D13" s="14"/>
    </row>
    <row r="14" spans="1:4" x14ac:dyDescent="0.2">
      <c r="A14" s="4" t="s">
        <v>1</v>
      </c>
      <c r="B14" s="5">
        <v>0</v>
      </c>
      <c r="C14" s="12">
        <f>GovByAssemblyDistrict27General[[#This Row],[Part of Queens County Vote Results]]</f>
        <v>0</v>
      </c>
      <c r="D14" s="14"/>
    </row>
    <row r="15" spans="1:4" x14ac:dyDescent="0.2">
      <c r="A15" s="4" t="s">
        <v>2</v>
      </c>
      <c r="B15" s="5">
        <v>41</v>
      </c>
      <c r="C15" s="12">
        <f>GovByAssemblyDistrict27General[[#This Row],[Part of Queens County Vote Results]]</f>
        <v>41</v>
      </c>
      <c r="D15" s="14"/>
    </row>
    <row r="16" spans="1:4" hidden="1" x14ac:dyDescent="0.2">
      <c r="A16" s="4" t="s">
        <v>4</v>
      </c>
      <c r="B16" s="6">
        <f>SUBTOTAL(109,GovByAssemblyDistrict27General[Total Votes by Candidate])</f>
        <v>26099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169DC-44FF-47B0-82AA-957BD0D1F297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46</v>
      </c>
    </row>
    <row r="2" spans="1:4" ht="24.95" customHeight="1" x14ac:dyDescent="0.2">
      <c r="A2" s="7" t="s">
        <v>12</v>
      </c>
      <c r="B2" s="8" t="s">
        <v>41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21600</v>
      </c>
      <c r="C3" s="12">
        <f>GovByAssemblyDistrict28General[[#This Row],[Part of Queens County Vote Results]]</f>
        <v>21600</v>
      </c>
      <c r="D3" s="13">
        <f>SUM(C3,C7,C8,C9)</f>
        <v>22969</v>
      </c>
    </row>
    <row r="4" spans="1:4" x14ac:dyDescent="0.2">
      <c r="A4" s="2" t="s">
        <v>14</v>
      </c>
      <c r="B4" s="3">
        <v>8200</v>
      </c>
      <c r="C4" s="12">
        <f>GovByAssemblyDistrict28General[[#This Row],[Part of Queens County Vote Results]]</f>
        <v>8200</v>
      </c>
      <c r="D4" s="13">
        <f>SUM(C4,C5,C10)</f>
        <v>9148</v>
      </c>
    </row>
    <row r="5" spans="1:4" x14ac:dyDescent="0.2">
      <c r="A5" s="2" t="s">
        <v>15</v>
      </c>
      <c r="B5" s="3">
        <v>852</v>
      </c>
      <c r="C5" s="12">
        <f>GovByAssemblyDistrict28General[[#This Row],[Part of Queens County Vote Results]]</f>
        <v>852</v>
      </c>
      <c r="D5" s="14"/>
    </row>
    <row r="6" spans="1:4" x14ac:dyDescent="0.2">
      <c r="A6" s="2" t="s">
        <v>6</v>
      </c>
      <c r="B6" s="3">
        <v>744</v>
      </c>
      <c r="C6" s="12">
        <f>GovByAssemblyDistrict28General[[#This Row],[Part of Queens County Vote Results]]</f>
        <v>744</v>
      </c>
      <c r="D6" s="13">
        <f>GovByAssemblyDistrict28General[[#This Row],[Total Votes by Party]]</f>
        <v>744</v>
      </c>
    </row>
    <row r="7" spans="1:4" x14ac:dyDescent="0.2">
      <c r="A7" s="2" t="s">
        <v>7</v>
      </c>
      <c r="B7" s="3">
        <v>865</v>
      </c>
      <c r="C7" s="12">
        <f>GovByAssemblyDistrict28General[[#This Row],[Part of Queens County Vote Results]]</f>
        <v>865</v>
      </c>
      <c r="D7" s="14"/>
    </row>
    <row r="8" spans="1:4" x14ac:dyDescent="0.2">
      <c r="A8" s="2" t="s">
        <v>8</v>
      </c>
      <c r="B8" s="3">
        <v>410</v>
      </c>
      <c r="C8" s="12">
        <f>GovByAssemblyDistrict28General[[#This Row],[Part of Queens County Vote Results]]</f>
        <v>410</v>
      </c>
      <c r="D8" s="14"/>
    </row>
    <row r="9" spans="1:4" x14ac:dyDescent="0.2">
      <c r="A9" s="2" t="s">
        <v>9</v>
      </c>
      <c r="B9" s="3">
        <v>94</v>
      </c>
      <c r="C9" s="12">
        <f>GovByAssemblyDistrict28General[[#This Row],[Part of Queens County Vote Results]]</f>
        <v>94</v>
      </c>
      <c r="D9" s="14"/>
    </row>
    <row r="10" spans="1:4" x14ac:dyDescent="0.2">
      <c r="A10" s="2" t="s">
        <v>16</v>
      </c>
      <c r="B10" s="3">
        <v>96</v>
      </c>
      <c r="C10" s="12">
        <f>GovByAssemblyDistrict28General[[#This Row],[Part of Queens County Vote Results]]</f>
        <v>96</v>
      </c>
      <c r="D10" s="14"/>
    </row>
    <row r="11" spans="1:4" x14ac:dyDescent="0.2">
      <c r="A11" s="2" t="s">
        <v>10</v>
      </c>
      <c r="B11" s="3">
        <v>271</v>
      </c>
      <c r="C11" s="12">
        <f>GovByAssemblyDistrict28General[[#This Row],[Part of Queens County Vote Results]]</f>
        <v>271</v>
      </c>
      <c r="D11" s="13">
        <f>GovByAssemblyDistrict28General[[#This Row],[Total Votes by Party]]</f>
        <v>271</v>
      </c>
    </row>
    <row r="12" spans="1:4" x14ac:dyDescent="0.2">
      <c r="A12" s="4" t="s">
        <v>11</v>
      </c>
      <c r="B12" s="5">
        <v>203</v>
      </c>
      <c r="C12" s="12">
        <f>GovByAssemblyDistrict28General[[#This Row],[Part of Queens County Vote Results]]</f>
        <v>203</v>
      </c>
      <c r="D12" s="13">
        <f>GovByAssemblyDistrict28General[[#This Row],[Total Votes by Party]]</f>
        <v>203</v>
      </c>
    </row>
    <row r="13" spans="1:4" x14ac:dyDescent="0.2">
      <c r="A13" s="4" t="s">
        <v>0</v>
      </c>
      <c r="B13" s="5">
        <v>511</v>
      </c>
      <c r="C13" s="12">
        <f>GovByAssemblyDistrict28General[[#This Row],[Part of Queens County Vote Results]]</f>
        <v>511</v>
      </c>
      <c r="D13" s="14"/>
    </row>
    <row r="14" spans="1:4" x14ac:dyDescent="0.2">
      <c r="A14" s="4" t="s">
        <v>1</v>
      </c>
      <c r="B14" s="5">
        <v>0</v>
      </c>
      <c r="C14" s="12">
        <f>GovByAssemblyDistrict28General[[#This Row],[Part of Queens County Vote Results]]</f>
        <v>0</v>
      </c>
      <c r="D14" s="14"/>
    </row>
    <row r="15" spans="1:4" x14ac:dyDescent="0.2">
      <c r="A15" s="4" t="s">
        <v>2</v>
      </c>
      <c r="B15" s="5">
        <v>64</v>
      </c>
      <c r="C15" s="12">
        <f>GovByAssemblyDistrict28General[[#This Row],[Part of Queens County Vote Results]]</f>
        <v>64</v>
      </c>
      <c r="D15" s="14"/>
    </row>
    <row r="16" spans="1:4" hidden="1" x14ac:dyDescent="0.2">
      <c r="A16" s="4" t="s">
        <v>4</v>
      </c>
      <c r="B16" s="6">
        <f>SUBTOTAL(109,GovByAssemblyDistrict28General[Total Votes by Candidate])</f>
        <v>33335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4BC51-19A4-460A-AC84-C112FEA27E76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47</v>
      </c>
    </row>
    <row r="2" spans="1:4" ht="24.95" customHeight="1" x14ac:dyDescent="0.2">
      <c r="A2" s="7" t="s">
        <v>12</v>
      </c>
      <c r="B2" s="8" t="s">
        <v>41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32739</v>
      </c>
      <c r="C3" s="12">
        <f>GovByAssemblyDistrict29General[[#This Row],[Part of Queens County Vote Results]]</f>
        <v>32739</v>
      </c>
      <c r="D3" s="13">
        <f>SUM(C3,C7,C8,C9)</f>
        <v>33327</v>
      </c>
    </row>
    <row r="4" spans="1:4" x14ac:dyDescent="0.2">
      <c r="A4" s="2" t="s">
        <v>14</v>
      </c>
      <c r="B4" s="3">
        <v>1047</v>
      </c>
      <c r="C4" s="12">
        <f>GovByAssemblyDistrict29General[[#This Row],[Part of Queens County Vote Results]]</f>
        <v>1047</v>
      </c>
      <c r="D4" s="13">
        <f>SUM(C4,C5,C10)</f>
        <v>1160</v>
      </c>
    </row>
    <row r="5" spans="1:4" x14ac:dyDescent="0.2">
      <c r="A5" s="2" t="s">
        <v>15</v>
      </c>
      <c r="B5" s="3">
        <v>92</v>
      </c>
      <c r="C5" s="12">
        <f>GovByAssemblyDistrict29General[[#This Row],[Part of Queens County Vote Results]]</f>
        <v>92</v>
      </c>
      <c r="D5" s="14"/>
    </row>
    <row r="6" spans="1:4" x14ac:dyDescent="0.2">
      <c r="A6" s="2" t="s">
        <v>6</v>
      </c>
      <c r="B6" s="3">
        <v>185</v>
      </c>
      <c r="C6" s="12">
        <f>GovByAssemblyDistrict29General[[#This Row],[Part of Queens County Vote Results]]</f>
        <v>185</v>
      </c>
      <c r="D6" s="13">
        <f>GovByAssemblyDistrict29General[[#This Row],[Total Votes by Party]]</f>
        <v>185</v>
      </c>
    </row>
    <row r="7" spans="1:4" x14ac:dyDescent="0.2">
      <c r="A7" s="2" t="s">
        <v>7</v>
      </c>
      <c r="B7" s="3">
        <v>307</v>
      </c>
      <c r="C7" s="12">
        <f>GovByAssemblyDistrict29General[[#This Row],[Part of Queens County Vote Results]]</f>
        <v>307</v>
      </c>
      <c r="D7" s="14"/>
    </row>
    <row r="8" spans="1:4" x14ac:dyDescent="0.2">
      <c r="A8" s="2" t="s">
        <v>8</v>
      </c>
      <c r="B8" s="3">
        <v>243</v>
      </c>
      <c r="C8" s="12">
        <f>GovByAssemblyDistrict29General[[#This Row],[Part of Queens County Vote Results]]</f>
        <v>243</v>
      </c>
      <c r="D8" s="14"/>
    </row>
    <row r="9" spans="1:4" x14ac:dyDescent="0.2">
      <c r="A9" s="2" t="s">
        <v>9</v>
      </c>
      <c r="B9" s="3">
        <v>38</v>
      </c>
      <c r="C9" s="12">
        <f>GovByAssemblyDistrict29General[[#This Row],[Part of Queens County Vote Results]]</f>
        <v>38</v>
      </c>
      <c r="D9" s="14"/>
    </row>
    <row r="10" spans="1:4" x14ac:dyDescent="0.2">
      <c r="A10" s="2" t="s">
        <v>16</v>
      </c>
      <c r="B10" s="3">
        <v>21</v>
      </c>
      <c r="C10" s="12">
        <f>GovByAssemblyDistrict29General[[#This Row],[Part of Queens County Vote Results]]</f>
        <v>21</v>
      </c>
      <c r="D10" s="14"/>
    </row>
    <row r="11" spans="1:4" x14ac:dyDescent="0.2">
      <c r="A11" s="2" t="s">
        <v>10</v>
      </c>
      <c r="B11" s="3">
        <v>74</v>
      </c>
      <c r="C11" s="12">
        <f>GovByAssemblyDistrict29General[[#This Row],[Part of Queens County Vote Results]]</f>
        <v>74</v>
      </c>
      <c r="D11" s="13">
        <f>GovByAssemblyDistrict29General[[#This Row],[Total Votes by Party]]</f>
        <v>74</v>
      </c>
    </row>
    <row r="12" spans="1:4" x14ac:dyDescent="0.2">
      <c r="A12" s="4" t="s">
        <v>11</v>
      </c>
      <c r="B12" s="5">
        <v>34</v>
      </c>
      <c r="C12" s="12">
        <f>GovByAssemblyDistrict29General[[#This Row],[Part of Queens County Vote Results]]</f>
        <v>34</v>
      </c>
      <c r="D12" s="13">
        <f>GovByAssemblyDistrict29General[[#This Row],[Total Votes by Party]]</f>
        <v>34</v>
      </c>
    </row>
    <row r="13" spans="1:4" x14ac:dyDescent="0.2">
      <c r="A13" s="4" t="s">
        <v>0</v>
      </c>
      <c r="B13" s="5">
        <v>421</v>
      </c>
      <c r="C13" s="12">
        <f>GovByAssemblyDistrict29General[[#This Row],[Part of Queens County Vote Results]]</f>
        <v>421</v>
      </c>
      <c r="D13" s="14"/>
    </row>
    <row r="14" spans="1:4" x14ac:dyDescent="0.2">
      <c r="A14" s="4" t="s">
        <v>1</v>
      </c>
      <c r="B14" s="5">
        <v>0</v>
      </c>
      <c r="C14" s="12">
        <f>GovByAssemblyDistrict29General[[#This Row],[Part of Queens County Vote Results]]</f>
        <v>0</v>
      </c>
      <c r="D14" s="14"/>
    </row>
    <row r="15" spans="1:4" x14ac:dyDescent="0.2">
      <c r="A15" s="4" t="s">
        <v>2</v>
      </c>
      <c r="B15" s="5">
        <v>24</v>
      </c>
      <c r="C15" s="12">
        <f>GovByAssemblyDistrict29General[[#This Row],[Part of Queens County Vote Results]]</f>
        <v>24</v>
      </c>
      <c r="D15" s="14"/>
    </row>
    <row r="16" spans="1:4" hidden="1" x14ac:dyDescent="0.2">
      <c r="A16" s="4" t="s">
        <v>4</v>
      </c>
      <c r="B16" s="6">
        <f>SUBTOTAL(109,GovByAssemblyDistrict29General[Total Votes by Candidate])</f>
        <v>34780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D4C61-6138-4505-A035-0E19D4468A1C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20</v>
      </c>
    </row>
    <row r="2" spans="1:4" ht="24.95" customHeight="1" x14ac:dyDescent="0.2">
      <c r="A2" s="7" t="s">
        <v>12</v>
      </c>
      <c r="B2" s="8" t="s">
        <v>13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18796</v>
      </c>
      <c r="C3" s="12">
        <f>GovByAssemblyDistrict3General[[#This Row],[Part of Suffolk County Vote Results]]</f>
        <v>18796</v>
      </c>
      <c r="D3" s="13">
        <f>SUM(C3,C7,C8,C9)</f>
        <v>19928</v>
      </c>
    </row>
    <row r="4" spans="1:4" x14ac:dyDescent="0.2">
      <c r="A4" s="2" t="s">
        <v>14</v>
      </c>
      <c r="B4" s="3">
        <v>17082</v>
      </c>
      <c r="C4" s="12">
        <f>GovByAssemblyDistrict3General[[#This Row],[Part of Suffolk County Vote Results]]</f>
        <v>17082</v>
      </c>
      <c r="D4" s="13">
        <f>SUM(C4,C5,C10)</f>
        <v>19174</v>
      </c>
    </row>
    <row r="5" spans="1:4" x14ac:dyDescent="0.2">
      <c r="A5" s="2" t="s">
        <v>15</v>
      </c>
      <c r="B5" s="3">
        <v>1967</v>
      </c>
      <c r="C5" s="12">
        <f>GovByAssemblyDistrict3General[[#This Row],[Part of Suffolk County Vote Results]]</f>
        <v>1967</v>
      </c>
      <c r="D5" s="14"/>
    </row>
    <row r="6" spans="1:4" x14ac:dyDescent="0.2">
      <c r="A6" s="2" t="s">
        <v>6</v>
      </c>
      <c r="B6" s="3">
        <v>344</v>
      </c>
      <c r="C6" s="12">
        <f>GovByAssemblyDistrict3General[[#This Row],[Part of Suffolk County Vote Results]]</f>
        <v>344</v>
      </c>
      <c r="D6" s="13">
        <f>GovByAssemblyDistrict3General[[#This Row],[Total Votes by Party]]</f>
        <v>344</v>
      </c>
    </row>
    <row r="7" spans="1:4" x14ac:dyDescent="0.2">
      <c r="A7" s="2" t="s">
        <v>7</v>
      </c>
      <c r="B7" s="3">
        <v>476</v>
      </c>
      <c r="C7" s="12">
        <f>GovByAssemblyDistrict3General[[#This Row],[Part of Suffolk County Vote Results]]</f>
        <v>476</v>
      </c>
      <c r="D7" s="14"/>
    </row>
    <row r="8" spans="1:4" x14ac:dyDescent="0.2">
      <c r="A8" s="2" t="s">
        <v>8</v>
      </c>
      <c r="B8" s="3">
        <v>449</v>
      </c>
      <c r="C8" s="12">
        <f>GovByAssemblyDistrict3General[[#This Row],[Part of Suffolk County Vote Results]]</f>
        <v>449</v>
      </c>
      <c r="D8" s="14"/>
    </row>
    <row r="9" spans="1:4" x14ac:dyDescent="0.2">
      <c r="A9" s="2" t="s">
        <v>9</v>
      </c>
      <c r="B9" s="3">
        <v>207</v>
      </c>
      <c r="C9" s="12">
        <f>GovByAssemblyDistrict3General[[#This Row],[Part of Suffolk County Vote Results]]</f>
        <v>207</v>
      </c>
      <c r="D9" s="14"/>
    </row>
    <row r="10" spans="1:4" x14ac:dyDescent="0.2">
      <c r="A10" s="2" t="s">
        <v>16</v>
      </c>
      <c r="B10" s="3">
        <v>125</v>
      </c>
      <c r="C10" s="12">
        <f>GovByAssemblyDistrict3General[[#This Row],[Part of Suffolk County Vote Results]]</f>
        <v>125</v>
      </c>
      <c r="D10" s="14"/>
    </row>
    <row r="11" spans="1:4" x14ac:dyDescent="0.2">
      <c r="A11" s="2" t="s">
        <v>10</v>
      </c>
      <c r="B11" s="3">
        <v>430</v>
      </c>
      <c r="C11" s="12">
        <f>GovByAssemblyDistrict3General[[#This Row],[Part of Suffolk County Vote Results]]</f>
        <v>430</v>
      </c>
      <c r="D11" s="13">
        <f>GovByAssemblyDistrict3General[[#This Row],[Total Votes by Party]]</f>
        <v>430</v>
      </c>
    </row>
    <row r="12" spans="1:4" x14ac:dyDescent="0.2">
      <c r="A12" s="4" t="s">
        <v>11</v>
      </c>
      <c r="B12" s="5">
        <v>223</v>
      </c>
      <c r="C12" s="12">
        <f>GovByAssemblyDistrict3General[[#This Row],[Part of Suffolk County Vote Results]]</f>
        <v>223</v>
      </c>
      <c r="D12" s="13">
        <f>GovByAssemblyDistrict3General[[#This Row],[Total Votes by Party]]</f>
        <v>223</v>
      </c>
    </row>
    <row r="13" spans="1:4" x14ac:dyDescent="0.2">
      <c r="A13" s="4" t="s">
        <v>0</v>
      </c>
      <c r="B13" s="5">
        <v>584</v>
      </c>
      <c r="C13" s="12">
        <f>GovByAssemblyDistrict3General[[#This Row],[Part of Suffolk County Vote Results]]</f>
        <v>584</v>
      </c>
      <c r="D13" s="14"/>
    </row>
    <row r="14" spans="1:4" x14ac:dyDescent="0.2">
      <c r="A14" s="4" t="s">
        <v>1</v>
      </c>
      <c r="B14" s="5">
        <v>47</v>
      </c>
      <c r="C14" s="12">
        <f>GovByAssemblyDistrict3General[[#This Row],[Part of Suffolk County Vote Results]]</f>
        <v>47</v>
      </c>
      <c r="D14" s="14"/>
    </row>
    <row r="15" spans="1:4" x14ac:dyDescent="0.2">
      <c r="A15" s="4" t="s">
        <v>2</v>
      </c>
      <c r="B15" s="5">
        <v>16</v>
      </c>
      <c r="C15" s="12">
        <f>GovByAssemblyDistrict3General[[#This Row],[Part of Suffolk County Vote Results]]</f>
        <v>16</v>
      </c>
      <c r="D15" s="14"/>
    </row>
    <row r="16" spans="1:4" hidden="1" x14ac:dyDescent="0.2">
      <c r="A16" s="4" t="s">
        <v>4</v>
      </c>
      <c r="B16" s="6">
        <f>SUBTOTAL(109,GovByAssemblyDistrict3General[Total Votes by Candidate])</f>
        <v>40099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61CAC-5EE2-4BBC-A6D3-CB5B92D3DE4A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48</v>
      </c>
    </row>
    <row r="2" spans="1:4" ht="24.95" customHeight="1" x14ac:dyDescent="0.2">
      <c r="A2" s="7" t="s">
        <v>12</v>
      </c>
      <c r="B2" s="8" t="s">
        <v>41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18820</v>
      </c>
      <c r="C3" s="12">
        <f>GovByAssemblyDistrict30General[[#This Row],[Part of Queens County Vote Results]]</f>
        <v>18820</v>
      </c>
      <c r="D3" s="13">
        <f>SUM(C3,C7,C8,C9)</f>
        <v>20030</v>
      </c>
    </row>
    <row r="4" spans="1:4" x14ac:dyDescent="0.2">
      <c r="A4" s="2" t="s">
        <v>14</v>
      </c>
      <c r="B4" s="3">
        <v>6791</v>
      </c>
      <c r="C4" s="12">
        <f>GovByAssemblyDistrict30General[[#This Row],[Part of Queens County Vote Results]]</f>
        <v>6791</v>
      </c>
      <c r="D4" s="13">
        <f>SUM(C4,C5,C10)</f>
        <v>7576</v>
      </c>
    </row>
    <row r="5" spans="1:4" x14ac:dyDescent="0.2">
      <c r="A5" s="2" t="s">
        <v>15</v>
      </c>
      <c r="B5" s="3">
        <v>742</v>
      </c>
      <c r="C5" s="12">
        <f>GovByAssemblyDistrict30General[[#This Row],[Part of Queens County Vote Results]]</f>
        <v>742</v>
      </c>
      <c r="D5" s="14"/>
    </row>
    <row r="6" spans="1:4" x14ac:dyDescent="0.2">
      <c r="A6" s="2" t="s">
        <v>6</v>
      </c>
      <c r="B6" s="3">
        <v>689</v>
      </c>
      <c r="C6" s="12">
        <f>GovByAssemblyDistrict30General[[#This Row],[Part of Queens County Vote Results]]</f>
        <v>689</v>
      </c>
      <c r="D6" s="13">
        <f>GovByAssemblyDistrict30General[[#This Row],[Total Votes by Party]]</f>
        <v>689</v>
      </c>
    </row>
    <row r="7" spans="1:4" x14ac:dyDescent="0.2">
      <c r="A7" s="2" t="s">
        <v>7</v>
      </c>
      <c r="B7" s="3">
        <v>775</v>
      </c>
      <c r="C7" s="12">
        <f>GovByAssemblyDistrict30General[[#This Row],[Part of Queens County Vote Results]]</f>
        <v>775</v>
      </c>
      <c r="D7" s="14"/>
    </row>
    <row r="8" spans="1:4" x14ac:dyDescent="0.2">
      <c r="A8" s="2" t="s">
        <v>8</v>
      </c>
      <c r="B8" s="3">
        <v>320</v>
      </c>
      <c r="C8" s="12">
        <f>GovByAssemblyDistrict30General[[#This Row],[Part of Queens County Vote Results]]</f>
        <v>320</v>
      </c>
      <c r="D8" s="14"/>
    </row>
    <row r="9" spans="1:4" x14ac:dyDescent="0.2">
      <c r="A9" s="2" t="s">
        <v>9</v>
      </c>
      <c r="B9" s="3">
        <v>115</v>
      </c>
      <c r="C9" s="12">
        <f>GovByAssemblyDistrict30General[[#This Row],[Part of Queens County Vote Results]]</f>
        <v>115</v>
      </c>
      <c r="D9" s="14"/>
    </row>
    <row r="10" spans="1:4" x14ac:dyDescent="0.2">
      <c r="A10" s="2" t="s">
        <v>16</v>
      </c>
      <c r="B10" s="3">
        <v>43</v>
      </c>
      <c r="C10" s="12">
        <f>GovByAssemblyDistrict30General[[#This Row],[Part of Queens County Vote Results]]</f>
        <v>43</v>
      </c>
      <c r="D10" s="14"/>
    </row>
    <row r="11" spans="1:4" x14ac:dyDescent="0.2">
      <c r="A11" s="2" t="s">
        <v>10</v>
      </c>
      <c r="B11" s="3">
        <v>255</v>
      </c>
      <c r="C11" s="12">
        <f>GovByAssemblyDistrict30General[[#This Row],[Part of Queens County Vote Results]]</f>
        <v>255</v>
      </c>
      <c r="D11" s="13">
        <f>GovByAssemblyDistrict30General[[#This Row],[Total Votes by Party]]</f>
        <v>255</v>
      </c>
    </row>
    <row r="12" spans="1:4" x14ac:dyDescent="0.2">
      <c r="A12" s="4" t="s">
        <v>11</v>
      </c>
      <c r="B12" s="5">
        <v>172</v>
      </c>
      <c r="C12" s="12">
        <f>GovByAssemblyDistrict30General[[#This Row],[Part of Queens County Vote Results]]</f>
        <v>172</v>
      </c>
      <c r="D12" s="13">
        <f>GovByAssemblyDistrict30General[[#This Row],[Total Votes by Party]]</f>
        <v>172</v>
      </c>
    </row>
    <row r="13" spans="1:4" x14ac:dyDescent="0.2">
      <c r="A13" s="4" t="s">
        <v>0</v>
      </c>
      <c r="B13" s="5">
        <v>422</v>
      </c>
      <c r="C13" s="12">
        <f>GovByAssemblyDistrict30General[[#This Row],[Part of Queens County Vote Results]]</f>
        <v>422</v>
      </c>
      <c r="D13" s="14"/>
    </row>
    <row r="14" spans="1:4" x14ac:dyDescent="0.2">
      <c r="A14" s="4" t="s">
        <v>1</v>
      </c>
      <c r="B14" s="5">
        <v>0</v>
      </c>
      <c r="C14" s="12">
        <f>GovByAssemblyDistrict30General[[#This Row],[Part of Queens County Vote Results]]</f>
        <v>0</v>
      </c>
      <c r="D14" s="14"/>
    </row>
    <row r="15" spans="1:4" x14ac:dyDescent="0.2">
      <c r="A15" s="4" t="s">
        <v>2</v>
      </c>
      <c r="B15" s="5">
        <v>68</v>
      </c>
      <c r="C15" s="12">
        <f>GovByAssemblyDistrict30General[[#This Row],[Part of Queens County Vote Results]]</f>
        <v>68</v>
      </c>
      <c r="D15" s="14"/>
    </row>
    <row r="16" spans="1:4" hidden="1" x14ac:dyDescent="0.2">
      <c r="A16" s="4" t="s">
        <v>4</v>
      </c>
      <c r="B16" s="6">
        <f>SUBTOTAL(109,GovByAssemblyDistrict30General[Total Votes by Candidate])</f>
        <v>28722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43572-C081-44D2-B074-B96C3350C834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49</v>
      </c>
    </row>
    <row r="2" spans="1:4" ht="24.95" customHeight="1" x14ac:dyDescent="0.2">
      <c r="A2" s="7" t="s">
        <v>12</v>
      </c>
      <c r="B2" s="8" t="s">
        <v>41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23125</v>
      </c>
      <c r="C3" s="12">
        <f>GovByAssemblyDistrict31General[[#This Row],[Part of Queens County Vote Results]]</f>
        <v>23125</v>
      </c>
      <c r="D3" s="13">
        <f>SUM(C3,C7,C8,C9)</f>
        <v>23629</v>
      </c>
    </row>
    <row r="4" spans="1:4" x14ac:dyDescent="0.2">
      <c r="A4" s="2" t="s">
        <v>14</v>
      </c>
      <c r="B4" s="3">
        <v>1354</v>
      </c>
      <c r="C4" s="12">
        <f>GovByAssemblyDistrict31General[[#This Row],[Part of Queens County Vote Results]]</f>
        <v>1354</v>
      </c>
      <c r="D4" s="13">
        <f>SUM(C4,C5,C10)</f>
        <v>1529</v>
      </c>
    </row>
    <row r="5" spans="1:4" x14ac:dyDescent="0.2">
      <c r="A5" s="2" t="s">
        <v>15</v>
      </c>
      <c r="B5" s="3">
        <v>153</v>
      </c>
      <c r="C5" s="12">
        <f>GovByAssemblyDistrict31General[[#This Row],[Part of Queens County Vote Results]]</f>
        <v>153</v>
      </c>
      <c r="D5" s="14"/>
    </row>
    <row r="6" spans="1:4" x14ac:dyDescent="0.2">
      <c r="A6" s="2" t="s">
        <v>6</v>
      </c>
      <c r="B6" s="3">
        <v>163</v>
      </c>
      <c r="C6" s="12">
        <f>GovByAssemblyDistrict31General[[#This Row],[Part of Queens County Vote Results]]</f>
        <v>163</v>
      </c>
      <c r="D6" s="13">
        <f>GovByAssemblyDistrict31General[[#This Row],[Total Votes by Party]]</f>
        <v>163</v>
      </c>
    </row>
    <row r="7" spans="1:4" x14ac:dyDescent="0.2">
      <c r="A7" s="2" t="s">
        <v>7</v>
      </c>
      <c r="B7" s="3">
        <v>261</v>
      </c>
      <c r="C7" s="12">
        <f>GovByAssemblyDistrict31General[[#This Row],[Part of Queens County Vote Results]]</f>
        <v>261</v>
      </c>
      <c r="D7" s="14"/>
    </row>
    <row r="8" spans="1:4" x14ac:dyDescent="0.2">
      <c r="A8" s="2" t="s">
        <v>8</v>
      </c>
      <c r="B8" s="3">
        <v>200</v>
      </c>
      <c r="C8" s="12">
        <f>GovByAssemblyDistrict31General[[#This Row],[Part of Queens County Vote Results]]</f>
        <v>200</v>
      </c>
      <c r="D8" s="14"/>
    </row>
    <row r="9" spans="1:4" x14ac:dyDescent="0.2">
      <c r="A9" s="2" t="s">
        <v>9</v>
      </c>
      <c r="B9" s="3">
        <v>43</v>
      </c>
      <c r="C9" s="12">
        <f>GovByAssemblyDistrict31General[[#This Row],[Part of Queens County Vote Results]]</f>
        <v>43</v>
      </c>
      <c r="D9" s="14"/>
    </row>
    <row r="10" spans="1:4" x14ac:dyDescent="0.2">
      <c r="A10" s="2" t="s">
        <v>16</v>
      </c>
      <c r="B10" s="3">
        <v>22</v>
      </c>
      <c r="C10" s="12">
        <f>GovByAssemblyDistrict31General[[#This Row],[Part of Queens County Vote Results]]</f>
        <v>22</v>
      </c>
      <c r="D10" s="14"/>
    </row>
    <row r="11" spans="1:4" x14ac:dyDescent="0.2">
      <c r="A11" s="2" t="s">
        <v>10</v>
      </c>
      <c r="B11" s="3">
        <v>59</v>
      </c>
      <c r="C11" s="12">
        <f>GovByAssemblyDistrict31General[[#This Row],[Part of Queens County Vote Results]]</f>
        <v>59</v>
      </c>
      <c r="D11" s="13">
        <f>GovByAssemblyDistrict31General[[#This Row],[Total Votes by Party]]</f>
        <v>59</v>
      </c>
    </row>
    <row r="12" spans="1:4" x14ac:dyDescent="0.2">
      <c r="A12" s="4" t="s">
        <v>11</v>
      </c>
      <c r="B12" s="5">
        <v>29</v>
      </c>
      <c r="C12" s="12">
        <f>GovByAssemblyDistrict31General[[#This Row],[Part of Queens County Vote Results]]</f>
        <v>29</v>
      </c>
      <c r="D12" s="13">
        <f>GovByAssemblyDistrict31General[[#This Row],[Total Votes by Party]]</f>
        <v>29</v>
      </c>
    </row>
    <row r="13" spans="1:4" x14ac:dyDescent="0.2">
      <c r="A13" s="4" t="s">
        <v>0</v>
      </c>
      <c r="B13" s="5">
        <v>333</v>
      </c>
      <c r="C13" s="12">
        <f>GovByAssemblyDistrict31General[[#This Row],[Part of Queens County Vote Results]]</f>
        <v>333</v>
      </c>
      <c r="D13" s="14"/>
    </row>
    <row r="14" spans="1:4" x14ac:dyDescent="0.2">
      <c r="A14" s="4" t="s">
        <v>1</v>
      </c>
      <c r="B14" s="5">
        <v>0</v>
      </c>
      <c r="C14" s="12">
        <f>GovByAssemblyDistrict31General[[#This Row],[Part of Queens County Vote Results]]</f>
        <v>0</v>
      </c>
      <c r="D14" s="14"/>
    </row>
    <row r="15" spans="1:4" x14ac:dyDescent="0.2">
      <c r="A15" s="4" t="s">
        <v>2</v>
      </c>
      <c r="B15" s="5">
        <v>17</v>
      </c>
      <c r="C15" s="12">
        <f>GovByAssemblyDistrict31General[[#This Row],[Part of Queens County Vote Results]]</f>
        <v>17</v>
      </c>
      <c r="D15" s="14"/>
    </row>
    <row r="16" spans="1:4" hidden="1" x14ac:dyDescent="0.2">
      <c r="A16" s="4" t="s">
        <v>4</v>
      </c>
      <c r="B16" s="6">
        <f>SUBTOTAL(109,GovByAssemblyDistrict31General[Total Votes by Candidate])</f>
        <v>25409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BDDDE-AA80-48DC-9971-6391A11B2766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50</v>
      </c>
    </row>
    <row r="2" spans="1:4" ht="24.95" customHeight="1" x14ac:dyDescent="0.2">
      <c r="A2" s="7" t="s">
        <v>12</v>
      </c>
      <c r="B2" s="8" t="s">
        <v>41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29852</v>
      </c>
      <c r="C3" s="12">
        <f>GovByAssemblyDistrict32General[[#This Row],[Part of Queens County Vote Results]]</f>
        <v>29852</v>
      </c>
      <c r="D3" s="13">
        <f>SUM(C3,C7,C8,C9)</f>
        <v>30384</v>
      </c>
    </row>
    <row r="4" spans="1:4" x14ac:dyDescent="0.2">
      <c r="A4" s="2" t="s">
        <v>14</v>
      </c>
      <c r="B4" s="3">
        <v>784</v>
      </c>
      <c r="C4" s="12">
        <f>GovByAssemblyDistrict32General[[#This Row],[Part of Queens County Vote Results]]</f>
        <v>784</v>
      </c>
      <c r="D4" s="13">
        <f>SUM(C4,C5,C10)</f>
        <v>854</v>
      </c>
    </row>
    <row r="5" spans="1:4" x14ac:dyDescent="0.2">
      <c r="A5" s="2" t="s">
        <v>15</v>
      </c>
      <c r="B5" s="3">
        <v>63</v>
      </c>
      <c r="C5" s="12">
        <f>GovByAssemblyDistrict32General[[#This Row],[Part of Queens County Vote Results]]</f>
        <v>63</v>
      </c>
      <c r="D5" s="14"/>
    </row>
    <row r="6" spans="1:4" x14ac:dyDescent="0.2">
      <c r="A6" s="2" t="s">
        <v>6</v>
      </c>
      <c r="B6" s="3">
        <v>168</v>
      </c>
      <c r="C6" s="12">
        <f>GovByAssemblyDistrict32General[[#This Row],[Part of Queens County Vote Results]]</f>
        <v>168</v>
      </c>
      <c r="D6" s="13">
        <f>GovByAssemblyDistrict32General[[#This Row],[Total Votes by Party]]</f>
        <v>168</v>
      </c>
    </row>
    <row r="7" spans="1:4" x14ac:dyDescent="0.2">
      <c r="A7" s="2" t="s">
        <v>7</v>
      </c>
      <c r="B7" s="3">
        <v>294</v>
      </c>
      <c r="C7" s="12">
        <f>GovByAssemblyDistrict32General[[#This Row],[Part of Queens County Vote Results]]</f>
        <v>294</v>
      </c>
      <c r="D7" s="14"/>
    </row>
    <row r="8" spans="1:4" x14ac:dyDescent="0.2">
      <c r="A8" s="2" t="s">
        <v>8</v>
      </c>
      <c r="B8" s="3">
        <v>210</v>
      </c>
      <c r="C8" s="12">
        <f>GovByAssemblyDistrict32General[[#This Row],[Part of Queens County Vote Results]]</f>
        <v>210</v>
      </c>
      <c r="D8" s="14"/>
    </row>
    <row r="9" spans="1:4" x14ac:dyDescent="0.2">
      <c r="A9" s="2" t="s">
        <v>9</v>
      </c>
      <c r="B9" s="3">
        <v>28</v>
      </c>
      <c r="C9" s="12">
        <f>GovByAssemblyDistrict32General[[#This Row],[Part of Queens County Vote Results]]</f>
        <v>28</v>
      </c>
      <c r="D9" s="14"/>
    </row>
    <row r="10" spans="1:4" x14ac:dyDescent="0.2">
      <c r="A10" s="2" t="s">
        <v>16</v>
      </c>
      <c r="B10" s="3">
        <v>7</v>
      </c>
      <c r="C10" s="12">
        <f>GovByAssemblyDistrict32General[[#This Row],[Part of Queens County Vote Results]]</f>
        <v>7</v>
      </c>
      <c r="D10" s="14"/>
    </row>
    <row r="11" spans="1:4" x14ac:dyDescent="0.2">
      <c r="A11" s="2" t="s">
        <v>10</v>
      </c>
      <c r="B11" s="3">
        <v>85</v>
      </c>
      <c r="C11" s="12">
        <f>GovByAssemblyDistrict32General[[#This Row],[Part of Queens County Vote Results]]</f>
        <v>85</v>
      </c>
      <c r="D11" s="13">
        <f>GovByAssemblyDistrict32General[[#This Row],[Total Votes by Party]]</f>
        <v>85</v>
      </c>
    </row>
    <row r="12" spans="1:4" x14ac:dyDescent="0.2">
      <c r="A12" s="4" t="s">
        <v>11</v>
      </c>
      <c r="B12" s="5">
        <v>48</v>
      </c>
      <c r="C12" s="12">
        <f>GovByAssemblyDistrict32General[[#This Row],[Part of Queens County Vote Results]]</f>
        <v>48</v>
      </c>
      <c r="D12" s="13">
        <f>GovByAssemblyDistrict32General[[#This Row],[Total Votes by Party]]</f>
        <v>48</v>
      </c>
    </row>
    <row r="13" spans="1:4" x14ac:dyDescent="0.2">
      <c r="A13" s="4" t="s">
        <v>0</v>
      </c>
      <c r="B13" s="5">
        <v>598</v>
      </c>
      <c r="C13" s="12">
        <f>GovByAssemblyDistrict32General[[#This Row],[Part of Queens County Vote Results]]</f>
        <v>598</v>
      </c>
      <c r="D13" s="14"/>
    </row>
    <row r="14" spans="1:4" x14ac:dyDescent="0.2">
      <c r="A14" s="4" t="s">
        <v>1</v>
      </c>
      <c r="B14" s="5">
        <v>0</v>
      </c>
      <c r="C14" s="12">
        <f>GovByAssemblyDistrict32General[[#This Row],[Part of Queens County Vote Results]]</f>
        <v>0</v>
      </c>
      <c r="D14" s="14"/>
    </row>
    <row r="15" spans="1:4" x14ac:dyDescent="0.2">
      <c r="A15" s="4" t="s">
        <v>2</v>
      </c>
      <c r="B15" s="5">
        <v>17</v>
      </c>
      <c r="C15" s="12">
        <f>GovByAssemblyDistrict32General[[#This Row],[Part of Queens County Vote Results]]</f>
        <v>17</v>
      </c>
      <c r="D15" s="14"/>
    </row>
    <row r="16" spans="1:4" hidden="1" x14ac:dyDescent="0.2">
      <c r="A16" s="4" t="s">
        <v>4</v>
      </c>
      <c r="B16" s="6">
        <f>SUBTOTAL(109,GovByAssemblyDistrict32General[Total Votes by Candidate])</f>
        <v>31539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3C984-7BC7-41A0-BB7C-0BE5E63480CC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51</v>
      </c>
    </row>
    <row r="2" spans="1:4" ht="24.95" customHeight="1" x14ac:dyDescent="0.2">
      <c r="A2" s="7" t="s">
        <v>12</v>
      </c>
      <c r="B2" s="8" t="s">
        <v>41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32410</v>
      </c>
      <c r="C3" s="12">
        <f>GovByAssemblyDistrict33General[[#This Row],[Part of Queens County Vote Results]]</f>
        <v>32410</v>
      </c>
      <c r="D3" s="13">
        <f>SUM(C3,C7,C8,C9)</f>
        <v>33175</v>
      </c>
    </row>
    <row r="4" spans="1:4" x14ac:dyDescent="0.2">
      <c r="A4" s="2" t="s">
        <v>14</v>
      </c>
      <c r="B4" s="3">
        <v>2682</v>
      </c>
      <c r="C4" s="12">
        <f>GovByAssemblyDistrict33General[[#This Row],[Part of Queens County Vote Results]]</f>
        <v>2682</v>
      </c>
      <c r="D4" s="13">
        <f>SUM(C4,C5,C10)</f>
        <v>3031</v>
      </c>
    </row>
    <row r="5" spans="1:4" x14ac:dyDescent="0.2">
      <c r="A5" s="2" t="s">
        <v>15</v>
      </c>
      <c r="B5" s="3">
        <v>325</v>
      </c>
      <c r="C5" s="12">
        <f>GovByAssemblyDistrict33General[[#This Row],[Part of Queens County Vote Results]]</f>
        <v>325</v>
      </c>
      <c r="D5" s="14"/>
    </row>
    <row r="6" spans="1:4" x14ac:dyDescent="0.2">
      <c r="A6" s="2" t="s">
        <v>6</v>
      </c>
      <c r="B6" s="3">
        <v>295</v>
      </c>
      <c r="C6" s="12">
        <f>GovByAssemblyDistrict33General[[#This Row],[Part of Queens County Vote Results]]</f>
        <v>295</v>
      </c>
      <c r="D6" s="13">
        <f>GovByAssemblyDistrict33General[[#This Row],[Total Votes by Party]]</f>
        <v>295</v>
      </c>
    </row>
    <row r="7" spans="1:4" x14ac:dyDescent="0.2">
      <c r="A7" s="2" t="s">
        <v>7</v>
      </c>
      <c r="B7" s="3">
        <v>418</v>
      </c>
      <c r="C7" s="12">
        <f>GovByAssemblyDistrict33General[[#This Row],[Part of Queens County Vote Results]]</f>
        <v>418</v>
      </c>
      <c r="D7" s="14"/>
    </row>
    <row r="8" spans="1:4" x14ac:dyDescent="0.2">
      <c r="A8" s="2" t="s">
        <v>8</v>
      </c>
      <c r="B8" s="3">
        <v>299</v>
      </c>
      <c r="C8" s="12">
        <f>GovByAssemblyDistrict33General[[#This Row],[Part of Queens County Vote Results]]</f>
        <v>299</v>
      </c>
      <c r="D8" s="14"/>
    </row>
    <row r="9" spans="1:4" x14ac:dyDescent="0.2">
      <c r="A9" s="2" t="s">
        <v>9</v>
      </c>
      <c r="B9" s="3">
        <v>48</v>
      </c>
      <c r="C9" s="12">
        <f>GovByAssemblyDistrict33General[[#This Row],[Part of Queens County Vote Results]]</f>
        <v>48</v>
      </c>
      <c r="D9" s="14"/>
    </row>
    <row r="10" spans="1:4" x14ac:dyDescent="0.2">
      <c r="A10" s="2" t="s">
        <v>16</v>
      </c>
      <c r="B10" s="3">
        <v>24</v>
      </c>
      <c r="C10" s="12">
        <f>GovByAssemblyDistrict33General[[#This Row],[Part of Queens County Vote Results]]</f>
        <v>24</v>
      </c>
      <c r="D10" s="14"/>
    </row>
    <row r="11" spans="1:4" x14ac:dyDescent="0.2">
      <c r="A11" s="2" t="s">
        <v>10</v>
      </c>
      <c r="B11" s="3">
        <v>126</v>
      </c>
      <c r="C11" s="12">
        <f>GovByAssemblyDistrict33General[[#This Row],[Part of Queens County Vote Results]]</f>
        <v>126</v>
      </c>
      <c r="D11" s="13">
        <f>GovByAssemblyDistrict33General[[#This Row],[Total Votes by Party]]</f>
        <v>126</v>
      </c>
    </row>
    <row r="12" spans="1:4" x14ac:dyDescent="0.2">
      <c r="A12" s="4" t="s">
        <v>11</v>
      </c>
      <c r="B12" s="5">
        <v>61</v>
      </c>
      <c r="C12" s="12">
        <f>GovByAssemblyDistrict33General[[#This Row],[Part of Queens County Vote Results]]</f>
        <v>61</v>
      </c>
      <c r="D12" s="13">
        <f>GovByAssemblyDistrict33General[[#This Row],[Total Votes by Party]]</f>
        <v>61</v>
      </c>
    </row>
    <row r="13" spans="1:4" x14ac:dyDescent="0.2">
      <c r="A13" s="4" t="s">
        <v>0</v>
      </c>
      <c r="B13" s="5">
        <v>479</v>
      </c>
      <c r="C13" s="12">
        <f>GovByAssemblyDistrict33General[[#This Row],[Part of Queens County Vote Results]]</f>
        <v>479</v>
      </c>
      <c r="D13" s="14"/>
    </row>
    <row r="14" spans="1:4" x14ac:dyDescent="0.2">
      <c r="A14" s="4" t="s">
        <v>1</v>
      </c>
      <c r="B14" s="5">
        <v>0</v>
      </c>
      <c r="C14" s="12">
        <f>GovByAssemblyDistrict33General[[#This Row],[Part of Queens County Vote Results]]</f>
        <v>0</v>
      </c>
      <c r="D14" s="14"/>
    </row>
    <row r="15" spans="1:4" x14ac:dyDescent="0.2">
      <c r="A15" s="4" t="s">
        <v>2</v>
      </c>
      <c r="B15" s="5">
        <v>30</v>
      </c>
      <c r="C15" s="12">
        <f>GovByAssemblyDistrict33General[[#This Row],[Part of Queens County Vote Results]]</f>
        <v>30</v>
      </c>
      <c r="D15" s="14"/>
    </row>
    <row r="16" spans="1:4" hidden="1" x14ac:dyDescent="0.2">
      <c r="A16" s="4" t="s">
        <v>4</v>
      </c>
      <c r="B16" s="6">
        <f>SUBTOTAL(109,GovByAssemblyDistrict33General[Total Votes by Candidate])</f>
        <v>36688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DD64F-D55C-47B4-8194-2CE736B1DF10}">
  <dimension ref="A1:D16"/>
  <sheetViews>
    <sheetView workbookViewId="0">
      <selection activeCell="B19" sqref="B19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52</v>
      </c>
    </row>
    <row r="2" spans="1:4" ht="24.95" customHeight="1" x14ac:dyDescent="0.2">
      <c r="A2" s="7" t="s">
        <v>12</v>
      </c>
      <c r="B2" s="8" t="s">
        <v>41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17390</v>
      </c>
      <c r="C3" s="12">
        <f>GovByAssemblyDistrict34General[[#This Row],[Part of Queens County Vote Results]]</f>
        <v>17390</v>
      </c>
      <c r="D3" s="13">
        <f>SUM(C3,C7,C8,C9)</f>
        <v>18286</v>
      </c>
    </row>
    <row r="4" spans="1:4" x14ac:dyDescent="0.2">
      <c r="A4" s="2" t="s">
        <v>14</v>
      </c>
      <c r="B4" s="3">
        <v>2639</v>
      </c>
      <c r="C4" s="12">
        <f>GovByAssemblyDistrict34General[[#This Row],[Part of Queens County Vote Results]]</f>
        <v>2639</v>
      </c>
      <c r="D4" s="13">
        <f>SUM(C4,C5,C10)</f>
        <v>2909</v>
      </c>
    </row>
    <row r="5" spans="1:4" x14ac:dyDescent="0.2">
      <c r="A5" s="2" t="s">
        <v>15</v>
      </c>
      <c r="B5" s="3">
        <v>232</v>
      </c>
      <c r="C5" s="12">
        <f>GovByAssemblyDistrict34General[[#This Row],[Part of Queens County Vote Results]]</f>
        <v>232</v>
      </c>
      <c r="D5" s="14"/>
    </row>
    <row r="6" spans="1:4" x14ac:dyDescent="0.2">
      <c r="A6" s="2" t="s">
        <v>6</v>
      </c>
      <c r="B6" s="3">
        <v>566</v>
      </c>
      <c r="C6" s="12">
        <f>GovByAssemblyDistrict34General[[#This Row],[Part of Queens County Vote Results]]</f>
        <v>566</v>
      </c>
      <c r="D6" s="13">
        <f>GovByAssemblyDistrict34General[[#This Row],[Total Votes by Party]]</f>
        <v>566</v>
      </c>
    </row>
    <row r="7" spans="1:4" x14ac:dyDescent="0.2">
      <c r="A7" s="2" t="s">
        <v>7</v>
      </c>
      <c r="B7" s="3">
        <v>604</v>
      </c>
      <c r="C7" s="12">
        <f>GovByAssemblyDistrict34General[[#This Row],[Part of Queens County Vote Results]]</f>
        <v>604</v>
      </c>
      <c r="D7" s="14"/>
    </row>
    <row r="8" spans="1:4" x14ac:dyDescent="0.2">
      <c r="A8" s="2" t="s">
        <v>8</v>
      </c>
      <c r="B8" s="3">
        <v>213</v>
      </c>
      <c r="C8" s="12">
        <f>GovByAssemblyDistrict34General[[#This Row],[Part of Queens County Vote Results]]</f>
        <v>213</v>
      </c>
      <c r="D8" s="14"/>
    </row>
    <row r="9" spans="1:4" x14ac:dyDescent="0.2">
      <c r="A9" s="2" t="s">
        <v>9</v>
      </c>
      <c r="B9" s="3">
        <v>79</v>
      </c>
      <c r="C9" s="12">
        <f>GovByAssemblyDistrict34General[[#This Row],[Part of Queens County Vote Results]]</f>
        <v>79</v>
      </c>
      <c r="D9" s="14"/>
    </row>
    <row r="10" spans="1:4" x14ac:dyDescent="0.2">
      <c r="A10" s="2" t="s">
        <v>16</v>
      </c>
      <c r="B10" s="3">
        <v>38</v>
      </c>
      <c r="C10" s="12">
        <f>GovByAssemblyDistrict34General[[#This Row],[Part of Queens County Vote Results]]</f>
        <v>38</v>
      </c>
      <c r="D10" s="14"/>
    </row>
    <row r="11" spans="1:4" x14ac:dyDescent="0.2">
      <c r="A11" s="2" t="s">
        <v>10</v>
      </c>
      <c r="B11" s="3">
        <v>116</v>
      </c>
      <c r="C11" s="12">
        <f>GovByAssemblyDistrict34General[[#This Row],[Part of Queens County Vote Results]]</f>
        <v>116</v>
      </c>
      <c r="D11" s="13">
        <f>GovByAssemblyDistrict34General[[#This Row],[Total Votes by Party]]</f>
        <v>116</v>
      </c>
    </row>
    <row r="12" spans="1:4" x14ac:dyDescent="0.2">
      <c r="A12" s="4" t="s">
        <v>11</v>
      </c>
      <c r="B12" s="5">
        <v>101</v>
      </c>
      <c r="C12" s="12">
        <f>GovByAssemblyDistrict34General[[#This Row],[Part of Queens County Vote Results]]</f>
        <v>101</v>
      </c>
      <c r="D12" s="13">
        <f>GovByAssemblyDistrict34General[[#This Row],[Total Votes by Party]]</f>
        <v>101</v>
      </c>
    </row>
    <row r="13" spans="1:4" x14ac:dyDescent="0.2">
      <c r="A13" s="4" t="s">
        <v>0</v>
      </c>
      <c r="B13" s="5">
        <v>476</v>
      </c>
      <c r="C13" s="12">
        <f>GovByAssemblyDistrict34General[[#This Row],[Part of Queens County Vote Results]]</f>
        <v>476</v>
      </c>
      <c r="D13" s="14"/>
    </row>
    <row r="14" spans="1:4" x14ac:dyDescent="0.2">
      <c r="A14" s="4" t="s">
        <v>1</v>
      </c>
      <c r="B14" s="5">
        <v>0</v>
      </c>
      <c r="C14" s="12">
        <f>GovByAssemblyDistrict34General[[#This Row],[Part of Queens County Vote Results]]</f>
        <v>0</v>
      </c>
      <c r="D14" s="14"/>
    </row>
    <row r="15" spans="1:4" x14ac:dyDescent="0.2">
      <c r="A15" s="4" t="s">
        <v>2</v>
      </c>
      <c r="B15" s="5">
        <v>43</v>
      </c>
      <c r="C15" s="12">
        <f>GovByAssemblyDistrict34General[[#This Row],[Part of Queens County Vote Results]]</f>
        <v>43</v>
      </c>
      <c r="D15" s="14"/>
    </row>
    <row r="16" spans="1:4" hidden="1" x14ac:dyDescent="0.2">
      <c r="A16" s="4" t="s">
        <v>4</v>
      </c>
      <c r="B16" s="6">
        <f>SUBTOTAL(109,GovByAssemblyDistrict34General[Total Votes by Candidate])</f>
        <v>21978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8768D-D55C-4B93-B21B-87FD65CD5A82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53</v>
      </c>
    </row>
    <row r="2" spans="1:4" ht="24.95" customHeight="1" x14ac:dyDescent="0.2">
      <c r="A2" s="7" t="s">
        <v>12</v>
      </c>
      <c r="B2" s="8" t="s">
        <v>41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16290</v>
      </c>
      <c r="C3" s="12">
        <f>GovByAssemblyDistrict35General[[#This Row],[Part of Queens County Vote Results]]</f>
        <v>16290</v>
      </c>
      <c r="D3" s="13">
        <f>SUM(C3,C7,C8,C9)</f>
        <v>16795</v>
      </c>
    </row>
    <row r="4" spans="1:4" x14ac:dyDescent="0.2">
      <c r="A4" s="2" t="s">
        <v>14</v>
      </c>
      <c r="B4" s="3">
        <v>2056</v>
      </c>
      <c r="C4" s="12">
        <f>GovByAssemblyDistrict35General[[#This Row],[Part of Queens County Vote Results]]</f>
        <v>2056</v>
      </c>
      <c r="D4" s="13">
        <f>SUM(C4,C5,C10)</f>
        <v>2227</v>
      </c>
    </row>
    <row r="5" spans="1:4" x14ac:dyDescent="0.2">
      <c r="A5" s="2" t="s">
        <v>15</v>
      </c>
      <c r="B5" s="3">
        <v>156</v>
      </c>
      <c r="C5" s="12">
        <f>GovByAssemblyDistrict35General[[#This Row],[Part of Queens County Vote Results]]</f>
        <v>156</v>
      </c>
      <c r="D5" s="14"/>
    </row>
    <row r="6" spans="1:4" x14ac:dyDescent="0.2">
      <c r="A6" s="2" t="s">
        <v>6</v>
      </c>
      <c r="B6" s="3">
        <v>265</v>
      </c>
      <c r="C6" s="12">
        <f>GovByAssemblyDistrict35General[[#This Row],[Part of Queens County Vote Results]]</f>
        <v>265</v>
      </c>
      <c r="D6" s="13">
        <f>GovByAssemblyDistrict35General[[#This Row],[Total Votes by Party]]</f>
        <v>265</v>
      </c>
    </row>
    <row r="7" spans="1:4" x14ac:dyDescent="0.2">
      <c r="A7" s="2" t="s">
        <v>7</v>
      </c>
      <c r="B7" s="3">
        <v>258</v>
      </c>
      <c r="C7" s="12">
        <f>GovByAssemblyDistrict35General[[#This Row],[Part of Queens County Vote Results]]</f>
        <v>258</v>
      </c>
      <c r="D7" s="14"/>
    </row>
    <row r="8" spans="1:4" x14ac:dyDescent="0.2">
      <c r="A8" s="2" t="s">
        <v>8</v>
      </c>
      <c r="B8" s="3">
        <v>190</v>
      </c>
      <c r="C8" s="12">
        <f>GovByAssemblyDistrict35General[[#This Row],[Part of Queens County Vote Results]]</f>
        <v>190</v>
      </c>
      <c r="D8" s="14"/>
    </row>
    <row r="9" spans="1:4" x14ac:dyDescent="0.2">
      <c r="A9" s="2" t="s">
        <v>9</v>
      </c>
      <c r="B9" s="3">
        <v>57</v>
      </c>
      <c r="C9" s="12">
        <f>GovByAssemblyDistrict35General[[#This Row],[Part of Queens County Vote Results]]</f>
        <v>57</v>
      </c>
      <c r="D9" s="14"/>
    </row>
    <row r="10" spans="1:4" x14ac:dyDescent="0.2">
      <c r="A10" s="2" t="s">
        <v>16</v>
      </c>
      <c r="B10" s="3">
        <v>15</v>
      </c>
      <c r="C10" s="12">
        <f>GovByAssemblyDistrict35General[[#This Row],[Part of Queens County Vote Results]]</f>
        <v>15</v>
      </c>
      <c r="D10" s="14"/>
    </row>
    <row r="11" spans="1:4" x14ac:dyDescent="0.2">
      <c r="A11" s="2" t="s">
        <v>10</v>
      </c>
      <c r="B11" s="3">
        <v>82</v>
      </c>
      <c r="C11" s="12">
        <f>GovByAssemblyDistrict35General[[#This Row],[Part of Queens County Vote Results]]</f>
        <v>82</v>
      </c>
      <c r="D11" s="13">
        <f>GovByAssemblyDistrict35General[[#This Row],[Total Votes by Party]]</f>
        <v>82</v>
      </c>
    </row>
    <row r="12" spans="1:4" x14ac:dyDescent="0.2">
      <c r="A12" s="4" t="s">
        <v>11</v>
      </c>
      <c r="B12" s="5">
        <v>73</v>
      </c>
      <c r="C12" s="12">
        <f>GovByAssemblyDistrict35General[[#This Row],[Part of Queens County Vote Results]]</f>
        <v>73</v>
      </c>
      <c r="D12" s="13">
        <f>GovByAssemblyDistrict35General[[#This Row],[Total Votes by Party]]</f>
        <v>73</v>
      </c>
    </row>
    <row r="13" spans="1:4" x14ac:dyDescent="0.2">
      <c r="A13" s="4" t="s">
        <v>0</v>
      </c>
      <c r="B13" s="5">
        <v>305</v>
      </c>
      <c r="C13" s="12">
        <f>GovByAssemblyDistrict35General[[#This Row],[Part of Queens County Vote Results]]</f>
        <v>305</v>
      </c>
      <c r="D13" s="14"/>
    </row>
    <row r="14" spans="1:4" x14ac:dyDescent="0.2">
      <c r="A14" s="4" t="s">
        <v>1</v>
      </c>
      <c r="B14" s="5">
        <v>0</v>
      </c>
      <c r="C14" s="12">
        <f>GovByAssemblyDistrict35General[[#This Row],[Part of Queens County Vote Results]]</f>
        <v>0</v>
      </c>
      <c r="D14" s="14"/>
    </row>
    <row r="15" spans="1:4" x14ac:dyDescent="0.2">
      <c r="A15" s="4" t="s">
        <v>2</v>
      </c>
      <c r="B15" s="5">
        <v>21</v>
      </c>
      <c r="C15" s="12">
        <f>GovByAssemblyDistrict35General[[#This Row],[Part of Queens County Vote Results]]</f>
        <v>21</v>
      </c>
      <c r="D15" s="14"/>
    </row>
    <row r="16" spans="1:4" hidden="1" x14ac:dyDescent="0.2">
      <c r="A16" s="4" t="s">
        <v>4</v>
      </c>
      <c r="B16" s="6">
        <f>SUBTOTAL(109,GovByAssemblyDistrict35General[Total Votes by Candidate])</f>
        <v>19442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C69F8-9DD9-4B01-A5B6-EE6344B43798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54</v>
      </c>
    </row>
    <row r="2" spans="1:4" ht="24.95" customHeight="1" x14ac:dyDescent="0.2">
      <c r="A2" s="7" t="s">
        <v>12</v>
      </c>
      <c r="B2" s="8" t="s">
        <v>41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25405</v>
      </c>
      <c r="C3" s="12">
        <f>GovByAssemblyDistrict36General[[#This Row],[Part of Queens County Vote Results]]</f>
        <v>25405</v>
      </c>
      <c r="D3" s="13">
        <f>SUM(C3,C7,C8,C9)</f>
        <v>27382</v>
      </c>
    </row>
    <row r="4" spans="1:4" x14ac:dyDescent="0.2">
      <c r="A4" s="2" t="s">
        <v>14</v>
      </c>
      <c r="B4" s="3">
        <v>4673</v>
      </c>
      <c r="C4" s="12">
        <f>GovByAssemblyDistrict36General[[#This Row],[Part of Queens County Vote Results]]</f>
        <v>4673</v>
      </c>
      <c r="D4" s="13">
        <f>SUM(C4,C5,C10)</f>
        <v>5127</v>
      </c>
    </row>
    <row r="5" spans="1:4" x14ac:dyDescent="0.2">
      <c r="A5" s="2" t="s">
        <v>15</v>
      </c>
      <c r="B5" s="3">
        <v>414</v>
      </c>
      <c r="C5" s="12">
        <f>GovByAssemblyDistrict36General[[#This Row],[Part of Queens County Vote Results]]</f>
        <v>414</v>
      </c>
      <c r="D5" s="14"/>
    </row>
    <row r="6" spans="1:4" x14ac:dyDescent="0.2">
      <c r="A6" s="2" t="s">
        <v>6</v>
      </c>
      <c r="B6" s="3">
        <v>1160</v>
      </c>
      <c r="C6" s="12">
        <f>GovByAssemblyDistrict36General[[#This Row],[Part of Queens County Vote Results]]</f>
        <v>1160</v>
      </c>
      <c r="D6" s="13">
        <f>GovByAssemblyDistrict36General[[#This Row],[Total Votes by Party]]</f>
        <v>1160</v>
      </c>
    </row>
    <row r="7" spans="1:4" x14ac:dyDescent="0.2">
      <c r="A7" s="2" t="s">
        <v>7</v>
      </c>
      <c r="B7" s="3">
        <v>1439</v>
      </c>
      <c r="C7" s="12">
        <f>GovByAssemblyDistrict36General[[#This Row],[Part of Queens County Vote Results]]</f>
        <v>1439</v>
      </c>
      <c r="D7" s="14"/>
    </row>
    <row r="8" spans="1:4" x14ac:dyDescent="0.2">
      <c r="A8" s="2" t="s">
        <v>8</v>
      </c>
      <c r="B8" s="3">
        <v>361</v>
      </c>
      <c r="C8" s="12">
        <f>GovByAssemblyDistrict36General[[#This Row],[Part of Queens County Vote Results]]</f>
        <v>361</v>
      </c>
      <c r="D8" s="14"/>
    </row>
    <row r="9" spans="1:4" x14ac:dyDescent="0.2">
      <c r="A9" s="2" t="s">
        <v>9</v>
      </c>
      <c r="B9" s="3">
        <v>177</v>
      </c>
      <c r="C9" s="12">
        <f>GovByAssemblyDistrict36General[[#This Row],[Part of Queens County Vote Results]]</f>
        <v>177</v>
      </c>
      <c r="D9" s="14"/>
    </row>
    <row r="10" spans="1:4" x14ac:dyDescent="0.2">
      <c r="A10" s="2" t="s">
        <v>16</v>
      </c>
      <c r="B10" s="3">
        <v>40</v>
      </c>
      <c r="C10" s="12">
        <f>GovByAssemblyDistrict36General[[#This Row],[Part of Queens County Vote Results]]</f>
        <v>40</v>
      </c>
      <c r="D10" s="14"/>
    </row>
    <row r="11" spans="1:4" x14ac:dyDescent="0.2">
      <c r="A11" s="2" t="s">
        <v>10</v>
      </c>
      <c r="B11" s="3">
        <v>381</v>
      </c>
      <c r="C11" s="12">
        <f>GovByAssemblyDistrict36General[[#This Row],[Part of Queens County Vote Results]]</f>
        <v>381</v>
      </c>
      <c r="D11" s="13">
        <f>GovByAssemblyDistrict36General[[#This Row],[Total Votes by Party]]</f>
        <v>381</v>
      </c>
    </row>
    <row r="12" spans="1:4" x14ac:dyDescent="0.2">
      <c r="A12" s="4" t="s">
        <v>11</v>
      </c>
      <c r="B12" s="5">
        <v>342</v>
      </c>
      <c r="C12" s="12">
        <f>GovByAssemblyDistrict36General[[#This Row],[Part of Queens County Vote Results]]</f>
        <v>342</v>
      </c>
      <c r="D12" s="13">
        <f>GovByAssemblyDistrict36General[[#This Row],[Total Votes by Party]]</f>
        <v>342</v>
      </c>
    </row>
    <row r="13" spans="1:4" x14ac:dyDescent="0.2">
      <c r="A13" s="4" t="s">
        <v>0</v>
      </c>
      <c r="B13" s="5">
        <v>507</v>
      </c>
      <c r="C13" s="12">
        <f>GovByAssemblyDistrict36General[[#This Row],[Part of Queens County Vote Results]]</f>
        <v>507</v>
      </c>
      <c r="D13" s="14"/>
    </row>
    <row r="14" spans="1:4" x14ac:dyDescent="0.2">
      <c r="A14" s="4" t="s">
        <v>1</v>
      </c>
      <c r="B14" s="5">
        <v>0</v>
      </c>
      <c r="C14" s="12">
        <f>GovByAssemblyDistrict36General[[#This Row],[Part of Queens County Vote Results]]</f>
        <v>0</v>
      </c>
      <c r="D14" s="14"/>
    </row>
    <row r="15" spans="1:4" x14ac:dyDescent="0.2">
      <c r="A15" s="4" t="s">
        <v>2</v>
      </c>
      <c r="B15" s="5">
        <v>126</v>
      </c>
      <c r="C15" s="12">
        <f>GovByAssemblyDistrict36General[[#This Row],[Part of Queens County Vote Results]]</f>
        <v>126</v>
      </c>
      <c r="D15" s="14"/>
    </row>
    <row r="16" spans="1:4" hidden="1" x14ac:dyDescent="0.2">
      <c r="A16" s="4" t="s">
        <v>4</v>
      </c>
      <c r="B16" s="6">
        <f>SUBTOTAL(109,GovByAssemblyDistrict36General[Total Votes by Candidate])</f>
        <v>34392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CE270-8739-4723-86E9-F903F904D58D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55</v>
      </c>
    </row>
    <row r="2" spans="1:4" ht="24.95" customHeight="1" x14ac:dyDescent="0.2">
      <c r="A2" s="7" t="s">
        <v>12</v>
      </c>
      <c r="B2" s="8" t="s">
        <v>41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25169</v>
      </c>
      <c r="C3" s="12">
        <f>GovByAssemblyDistrict37General[[#This Row],[Part of Queens County Vote Results]]</f>
        <v>25169</v>
      </c>
      <c r="D3" s="13">
        <f>SUM(C3,C7,C8,C9)</f>
        <v>27039</v>
      </c>
    </row>
    <row r="4" spans="1:4" x14ac:dyDescent="0.2">
      <c r="A4" s="2" t="s">
        <v>14</v>
      </c>
      <c r="B4" s="3">
        <v>3464</v>
      </c>
      <c r="C4" s="12">
        <f>GovByAssemblyDistrict37General[[#This Row],[Part of Queens County Vote Results]]</f>
        <v>3464</v>
      </c>
      <c r="D4" s="13">
        <f>SUM(C4,C5,C10)</f>
        <v>3843</v>
      </c>
    </row>
    <row r="5" spans="1:4" x14ac:dyDescent="0.2">
      <c r="A5" s="2" t="s">
        <v>15</v>
      </c>
      <c r="B5" s="3">
        <v>330</v>
      </c>
      <c r="C5" s="12">
        <f>GovByAssemblyDistrict37General[[#This Row],[Part of Queens County Vote Results]]</f>
        <v>330</v>
      </c>
      <c r="D5" s="14"/>
    </row>
    <row r="6" spans="1:4" x14ac:dyDescent="0.2">
      <c r="A6" s="2" t="s">
        <v>6</v>
      </c>
      <c r="B6" s="3">
        <v>1092</v>
      </c>
      <c r="C6" s="12">
        <f>GovByAssemblyDistrict37General[[#This Row],[Part of Queens County Vote Results]]</f>
        <v>1092</v>
      </c>
      <c r="D6" s="13">
        <f>GovByAssemblyDistrict37General[[#This Row],[Total Votes by Party]]</f>
        <v>1092</v>
      </c>
    </row>
    <row r="7" spans="1:4" x14ac:dyDescent="0.2">
      <c r="A7" s="2" t="s">
        <v>7</v>
      </c>
      <c r="B7" s="3">
        <v>1365</v>
      </c>
      <c r="C7" s="12">
        <f>GovByAssemblyDistrict37General[[#This Row],[Part of Queens County Vote Results]]</f>
        <v>1365</v>
      </c>
      <c r="D7" s="14"/>
    </row>
    <row r="8" spans="1:4" x14ac:dyDescent="0.2">
      <c r="A8" s="2" t="s">
        <v>8</v>
      </c>
      <c r="B8" s="3">
        <v>350</v>
      </c>
      <c r="C8" s="12">
        <f>GovByAssemblyDistrict37General[[#This Row],[Part of Queens County Vote Results]]</f>
        <v>350</v>
      </c>
      <c r="D8" s="14"/>
    </row>
    <row r="9" spans="1:4" x14ac:dyDescent="0.2">
      <c r="A9" s="2" t="s">
        <v>9</v>
      </c>
      <c r="B9" s="3">
        <v>155</v>
      </c>
      <c r="C9" s="12">
        <f>GovByAssemblyDistrict37General[[#This Row],[Part of Queens County Vote Results]]</f>
        <v>155</v>
      </c>
      <c r="D9" s="14"/>
    </row>
    <row r="10" spans="1:4" x14ac:dyDescent="0.2">
      <c r="A10" s="2" t="s">
        <v>16</v>
      </c>
      <c r="B10" s="3">
        <v>49</v>
      </c>
      <c r="C10" s="12">
        <f>GovByAssemblyDistrict37General[[#This Row],[Part of Queens County Vote Results]]</f>
        <v>49</v>
      </c>
      <c r="D10" s="14"/>
    </row>
    <row r="11" spans="1:4" x14ac:dyDescent="0.2">
      <c r="A11" s="2" t="s">
        <v>10</v>
      </c>
      <c r="B11" s="3">
        <v>340</v>
      </c>
      <c r="C11" s="12">
        <f>GovByAssemblyDistrict37General[[#This Row],[Part of Queens County Vote Results]]</f>
        <v>340</v>
      </c>
      <c r="D11" s="13">
        <f>GovByAssemblyDistrict37General[[#This Row],[Total Votes by Party]]</f>
        <v>340</v>
      </c>
    </row>
    <row r="12" spans="1:4" x14ac:dyDescent="0.2">
      <c r="A12" s="4" t="s">
        <v>11</v>
      </c>
      <c r="B12" s="5">
        <v>258</v>
      </c>
      <c r="C12" s="12">
        <f>GovByAssemblyDistrict37General[[#This Row],[Part of Queens County Vote Results]]</f>
        <v>258</v>
      </c>
      <c r="D12" s="13">
        <f>GovByAssemblyDistrict37General[[#This Row],[Total Votes by Party]]</f>
        <v>258</v>
      </c>
    </row>
    <row r="13" spans="1:4" x14ac:dyDescent="0.2">
      <c r="A13" s="4" t="s">
        <v>0</v>
      </c>
      <c r="B13" s="5">
        <v>523</v>
      </c>
      <c r="C13" s="12">
        <f>GovByAssemblyDistrict37General[[#This Row],[Part of Queens County Vote Results]]</f>
        <v>523</v>
      </c>
      <c r="D13" s="14"/>
    </row>
    <row r="14" spans="1:4" x14ac:dyDescent="0.2">
      <c r="A14" s="4" t="s">
        <v>1</v>
      </c>
      <c r="B14" s="5">
        <v>0</v>
      </c>
      <c r="C14" s="12">
        <f>GovByAssemblyDistrict37General[[#This Row],[Part of Queens County Vote Results]]</f>
        <v>0</v>
      </c>
      <c r="D14" s="14"/>
    </row>
    <row r="15" spans="1:4" x14ac:dyDescent="0.2">
      <c r="A15" s="4" t="s">
        <v>2</v>
      </c>
      <c r="B15" s="5">
        <v>103</v>
      </c>
      <c r="C15" s="12">
        <f>GovByAssemblyDistrict37General[[#This Row],[Part of Queens County Vote Results]]</f>
        <v>103</v>
      </c>
      <c r="D15" s="14"/>
    </row>
    <row r="16" spans="1:4" hidden="1" x14ac:dyDescent="0.2">
      <c r="A16" s="4" t="s">
        <v>4</v>
      </c>
      <c r="B16" s="6">
        <f>SUBTOTAL(109,GovByAssemblyDistrict37General[Total Votes by Candidate])</f>
        <v>32572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CF846-A3F6-452C-B60F-5568E15E9C90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56</v>
      </c>
    </row>
    <row r="2" spans="1:4" ht="24.95" customHeight="1" x14ac:dyDescent="0.2">
      <c r="A2" s="7" t="s">
        <v>12</v>
      </c>
      <c r="B2" s="8" t="s">
        <v>41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16358</v>
      </c>
      <c r="C3" s="12">
        <f>GovByAssemblyDistrict38General[[#This Row],[Part of Queens County Vote Results]]</f>
        <v>16358</v>
      </c>
      <c r="D3" s="13">
        <f>SUM(C3,C7,C8,C9)</f>
        <v>17159</v>
      </c>
    </row>
    <row r="4" spans="1:4" x14ac:dyDescent="0.2">
      <c r="A4" s="2" t="s">
        <v>14</v>
      </c>
      <c r="B4" s="3">
        <v>3388</v>
      </c>
      <c r="C4" s="12">
        <f>GovByAssemblyDistrict38General[[#This Row],[Part of Queens County Vote Results]]</f>
        <v>3388</v>
      </c>
      <c r="D4" s="13">
        <f>SUM(C4,C5,C10)</f>
        <v>3822</v>
      </c>
    </row>
    <row r="5" spans="1:4" x14ac:dyDescent="0.2">
      <c r="A5" s="2" t="s">
        <v>15</v>
      </c>
      <c r="B5" s="3">
        <v>389</v>
      </c>
      <c r="C5" s="12">
        <f>GovByAssemblyDistrict38General[[#This Row],[Part of Queens County Vote Results]]</f>
        <v>389</v>
      </c>
      <c r="D5" s="14"/>
    </row>
    <row r="6" spans="1:4" x14ac:dyDescent="0.2">
      <c r="A6" s="2" t="s">
        <v>6</v>
      </c>
      <c r="B6" s="3">
        <v>444</v>
      </c>
      <c r="C6" s="12">
        <f>GovByAssemblyDistrict38General[[#This Row],[Part of Queens County Vote Results]]</f>
        <v>444</v>
      </c>
      <c r="D6" s="13">
        <f>GovByAssemblyDistrict38General[[#This Row],[Total Votes by Party]]</f>
        <v>444</v>
      </c>
    </row>
    <row r="7" spans="1:4" x14ac:dyDescent="0.2">
      <c r="A7" s="2" t="s">
        <v>7</v>
      </c>
      <c r="B7" s="3">
        <v>534</v>
      </c>
      <c r="C7" s="12">
        <f>GovByAssemblyDistrict38General[[#This Row],[Part of Queens County Vote Results]]</f>
        <v>534</v>
      </c>
      <c r="D7" s="14"/>
    </row>
    <row r="8" spans="1:4" x14ac:dyDescent="0.2">
      <c r="A8" s="2" t="s">
        <v>8</v>
      </c>
      <c r="B8" s="3">
        <v>185</v>
      </c>
      <c r="C8" s="12">
        <f>GovByAssemblyDistrict38General[[#This Row],[Part of Queens County Vote Results]]</f>
        <v>185</v>
      </c>
      <c r="D8" s="14"/>
    </row>
    <row r="9" spans="1:4" x14ac:dyDescent="0.2">
      <c r="A9" s="2" t="s">
        <v>9</v>
      </c>
      <c r="B9" s="3">
        <v>82</v>
      </c>
      <c r="C9" s="12">
        <f>GovByAssemblyDistrict38General[[#This Row],[Part of Queens County Vote Results]]</f>
        <v>82</v>
      </c>
      <c r="D9" s="14"/>
    </row>
    <row r="10" spans="1:4" x14ac:dyDescent="0.2">
      <c r="A10" s="2" t="s">
        <v>16</v>
      </c>
      <c r="B10" s="3">
        <v>45</v>
      </c>
      <c r="C10" s="12">
        <f>GovByAssemblyDistrict38General[[#This Row],[Part of Queens County Vote Results]]</f>
        <v>45</v>
      </c>
      <c r="D10" s="14"/>
    </row>
    <row r="11" spans="1:4" x14ac:dyDescent="0.2">
      <c r="A11" s="2" t="s">
        <v>10</v>
      </c>
      <c r="B11" s="3">
        <v>132</v>
      </c>
      <c r="C11" s="12">
        <f>GovByAssemblyDistrict38General[[#This Row],[Part of Queens County Vote Results]]</f>
        <v>132</v>
      </c>
      <c r="D11" s="13">
        <f>GovByAssemblyDistrict38General[[#This Row],[Total Votes by Party]]</f>
        <v>132</v>
      </c>
    </row>
    <row r="12" spans="1:4" x14ac:dyDescent="0.2">
      <c r="A12" s="4" t="s">
        <v>11</v>
      </c>
      <c r="B12" s="5">
        <v>77</v>
      </c>
      <c r="C12" s="12">
        <f>GovByAssemblyDistrict38General[[#This Row],[Part of Queens County Vote Results]]</f>
        <v>77</v>
      </c>
      <c r="D12" s="13">
        <f>GovByAssemblyDistrict38General[[#This Row],[Total Votes by Party]]</f>
        <v>77</v>
      </c>
    </row>
    <row r="13" spans="1:4" x14ac:dyDescent="0.2">
      <c r="A13" s="4" t="s">
        <v>0</v>
      </c>
      <c r="B13" s="5">
        <v>344</v>
      </c>
      <c r="C13" s="12">
        <f>GovByAssemblyDistrict38General[[#This Row],[Part of Queens County Vote Results]]</f>
        <v>344</v>
      </c>
      <c r="D13" s="14"/>
    </row>
    <row r="14" spans="1:4" x14ac:dyDescent="0.2">
      <c r="A14" s="4" t="s">
        <v>1</v>
      </c>
      <c r="B14" s="5">
        <v>0</v>
      </c>
      <c r="C14" s="12">
        <f>GovByAssemblyDistrict38General[[#This Row],[Part of Queens County Vote Results]]</f>
        <v>0</v>
      </c>
      <c r="D14" s="14"/>
    </row>
    <row r="15" spans="1:4" x14ac:dyDescent="0.2">
      <c r="A15" s="4" t="s">
        <v>2</v>
      </c>
      <c r="B15" s="5">
        <v>30</v>
      </c>
      <c r="C15" s="12">
        <f>GovByAssemblyDistrict38General[[#This Row],[Part of Queens County Vote Results]]</f>
        <v>30</v>
      </c>
      <c r="D15" s="14"/>
    </row>
    <row r="16" spans="1:4" hidden="1" x14ac:dyDescent="0.2">
      <c r="A16" s="4" t="s">
        <v>4</v>
      </c>
      <c r="B16" s="6">
        <f>SUBTOTAL(109,GovByAssemblyDistrict38General[Total Votes by Candidate])</f>
        <v>21634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B3313-8209-4C73-A0E4-F80A479D396D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57</v>
      </c>
    </row>
    <row r="2" spans="1:4" ht="24.95" customHeight="1" x14ac:dyDescent="0.2">
      <c r="A2" s="7" t="s">
        <v>12</v>
      </c>
      <c r="B2" s="8" t="s">
        <v>41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13429</v>
      </c>
      <c r="C3" s="12">
        <f>GovByAssemblyDistrict39General[[#This Row],[Part of Queens County Vote Results]]</f>
        <v>13429</v>
      </c>
      <c r="D3" s="13">
        <f>SUM(C3,C7,C8,C9)</f>
        <v>14089</v>
      </c>
    </row>
    <row r="4" spans="1:4" x14ac:dyDescent="0.2">
      <c r="A4" s="2" t="s">
        <v>14</v>
      </c>
      <c r="B4" s="3">
        <v>1958</v>
      </c>
      <c r="C4" s="12">
        <f>GovByAssemblyDistrict39General[[#This Row],[Part of Queens County Vote Results]]</f>
        <v>1958</v>
      </c>
      <c r="D4" s="13">
        <f>SUM(C4,C5,C10)</f>
        <v>2131</v>
      </c>
    </row>
    <row r="5" spans="1:4" x14ac:dyDescent="0.2">
      <c r="A5" s="2" t="s">
        <v>15</v>
      </c>
      <c r="B5" s="3">
        <v>145</v>
      </c>
      <c r="C5" s="12">
        <f>GovByAssemblyDistrict39General[[#This Row],[Part of Queens County Vote Results]]</f>
        <v>145</v>
      </c>
      <c r="D5" s="14"/>
    </row>
    <row r="6" spans="1:4" x14ac:dyDescent="0.2">
      <c r="A6" s="2" t="s">
        <v>6</v>
      </c>
      <c r="B6" s="3">
        <v>391</v>
      </c>
      <c r="C6" s="12">
        <f>GovByAssemblyDistrict39General[[#This Row],[Part of Queens County Vote Results]]</f>
        <v>391</v>
      </c>
      <c r="D6" s="13">
        <f>GovByAssemblyDistrict39General[[#This Row],[Total Votes by Party]]</f>
        <v>391</v>
      </c>
    </row>
    <row r="7" spans="1:4" x14ac:dyDescent="0.2">
      <c r="A7" s="2" t="s">
        <v>7</v>
      </c>
      <c r="B7" s="3">
        <v>453</v>
      </c>
      <c r="C7" s="12">
        <f>GovByAssemblyDistrict39General[[#This Row],[Part of Queens County Vote Results]]</f>
        <v>453</v>
      </c>
      <c r="D7" s="14"/>
    </row>
    <row r="8" spans="1:4" x14ac:dyDescent="0.2">
      <c r="A8" s="2" t="s">
        <v>8</v>
      </c>
      <c r="B8" s="3">
        <v>144</v>
      </c>
      <c r="C8" s="12">
        <f>GovByAssemblyDistrict39General[[#This Row],[Part of Queens County Vote Results]]</f>
        <v>144</v>
      </c>
      <c r="D8" s="14"/>
    </row>
    <row r="9" spans="1:4" x14ac:dyDescent="0.2">
      <c r="A9" s="2" t="s">
        <v>9</v>
      </c>
      <c r="B9" s="3">
        <v>63</v>
      </c>
      <c r="C9" s="12">
        <f>GovByAssemblyDistrict39General[[#This Row],[Part of Queens County Vote Results]]</f>
        <v>63</v>
      </c>
      <c r="D9" s="14"/>
    </row>
    <row r="10" spans="1:4" x14ac:dyDescent="0.2">
      <c r="A10" s="2" t="s">
        <v>16</v>
      </c>
      <c r="B10" s="3">
        <v>28</v>
      </c>
      <c r="C10" s="12">
        <f>GovByAssemblyDistrict39General[[#This Row],[Part of Queens County Vote Results]]</f>
        <v>28</v>
      </c>
      <c r="D10" s="14"/>
    </row>
    <row r="11" spans="1:4" x14ac:dyDescent="0.2">
      <c r="A11" s="2" t="s">
        <v>10</v>
      </c>
      <c r="B11" s="3">
        <v>83</v>
      </c>
      <c r="C11" s="12">
        <f>GovByAssemblyDistrict39General[[#This Row],[Part of Queens County Vote Results]]</f>
        <v>83</v>
      </c>
      <c r="D11" s="13">
        <f>GovByAssemblyDistrict39General[[#This Row],[Total Votes by Party]]</f>
        <v>83</v>
      </c>
    </row>
    <row r="12" spans="1:4" x14ac:dyDescent="0.2">
      <c r="A12" s="4" t="s">
        <v>11</v>
      </c>
      <c r="B12" s="5">
        <v>77</v>
      </c>
      <c r="C12" s="12">
        <f>GovByAssemblyDistrict39General[[#This Row],[Part of Queens County Vote Results]]</f>
        <v>77</v>
      </c>
      <c r="D12" s="13">
        <f>GovByAssemblyDistrict39General[[#This Row],[Total Votes by Party]]</f>
        <v>77</v>
      </c>
    </row>
    <row r="13" spans="1:4" x14ac:dyDescent="0.2">
      <c r="A13" s="4" t="s">
        <v>0</v>
      </c>
      <c r="B13" s="5">
        <v>392</v>
      </c>
      <c r="C13" s="12">
        <f>GovByAssemblyDistrict39General[[#This Row],[Part of Queens County Vote Results]]</f>
        <v>392</v>
      </c>
      <c r="D13" s="14"/>
    </row>
    <row r="14" spans="1:4" x14ac:dyDescent="0.2">
      <c r="A14" s="4" t="s">
        <v>1</v>
      </c>
      <c r="B14" s="5">
        <v>0</v>
      </c>
      <c r="C14" s="12">
        <f>GovByAssemblyDistrict39General[[#This Row],[Part of Queens County Vote Results]]</f>
        <v>0</v>
      </c>
      <c r="D14" s="14"/>
    </row>
    <row r="15" spans="1:4" x14ac:dyDescent="0.2">
      <c r="A15" s="4" t="s">
        <v>2</v>
      </c>
      <c r="B15" s="5">
        <v>39</v>
      </c>
      <c r="C15" s="12">
        <f>GovByAssemblyDistrict39General[[#This Row],[Part of Queens County Vote Results]]</f>
        <v>39</v>
      </c>
      <c r="D15" s="14"/>
    </row>
    <row r="16" spans="1:4" hidden="1" x14ac:dyDescent="0.2">
      <c r="A16" s="4" t="s">
        <v>4</v>
      </c>
      <c r="B16" s="6">
        <f>SUBTOTAL(109,GovByAssemblyDistrict39General[Total Votes by Candidate])</f>
        <v>16771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2B0A7-03FB-4985-AA11-07E66BAE3D46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21</v>
      </c>
    </row>
    <row r="2" spans="1:4" ht="24.95" customHeight="1" x14ac:dyDescent="0.2">
      <c r="A2" s="7" t="s">
        <v>12</v>
      </c>
      <c r="B2" s="8" t="s">
        <v>13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24041</v>
      </c>
      <c r="C3" s="12">
        <f>GovByAssemblyDistrict4General[[#This Row],[Part of Suffolk County Vote Results]]</f>
        <v>24041</v>
      </c>
      <c r="D3" s="13">
        <f>SUM(C3,C7,C8,C9)</f>
        <v>25303</v>
      </c>
    </row>
    <row r="4" spans="1:4" x14ac:dyDescent="0.2">
      <c r="A4" s="2" t="s">
        <v>14</v>
      </c>
      <c r="B4" s="3">
        <v>17796</v>
      </c>
      <c r="C4" s="12">
        <f>GovByAssemblyDistrict4General[[#This Row],[Part of Suffolk County Vote Results]]</f>
        <v>17796</v>
      </c>
      <c r="D4" s="13">
        <f>SUM(C4,C5,C10)</f>
        <v>20158</v>
      </c>
    </row>
    <row r="5" spans="1:4" x14ac:dyDescent="0.2">
      <c r="A5" s="2" t="s">
        <v>15</v>
      </c>
      <c r="B5" s="3">
        <v>2228</v>
      </c>
      <c r="C5" s="12">
        <f>GovByAssemblyDistrict4General[[#This Row],[Part of Suffolk County Vote Results]]</f>
        <v>2228</v>
      </c>
      <c r="D5" s="14"/>
    </row>
    <row r="6" spans="1:4" x14ac:dyDescent="0.2">
      <c r="A6" s="2" t="s">
        <v>6</v>
      </c>
      <c r="B6" s="3">
        <v>521</v>
      </c>
      <c r="C6" s="12">
        <f>GovByAssemblyDistrict4General[[#This Row],[Part of Suffolk County Vote Results]]</f>
        <v>521</v>
      </c>
      <c r="D6" s="13">
        <f>GovByAssemblyDistrict4General[[#This Row],[Total Votes by Party]]</f>
        <v>521</v>
      </c>
    </row>
    <row r="7" spans="1:4" x14ac:dyDescent="0.2">
      <c r="A7" s="2" t="s">
        <v>7</v>
      </c>
      <c r="B7" s="3">
        <v>528</v>
      </c>
      <c r="C7" s="12">
        <f>GovByAssemblyDistrict4General[[#This Row],[Part of Suffolk County Vote Results]]</f>
        <v>528</v>
      </c>
      <c r="D7" s="14"/>
    </row>
    <row r="8" spans="1:4" x14ac:dyDescent="0.2">
      <c r="A8" s="2" t="s">
        <v>8</v>
      </c>
      <c r="B8" s="3">
        <v>488</v>
      </c>
      <c r="C8" s="12">
        <f>GovByAssemblyDistrict4General[[#This Row],[Part of Suffolk County Vote Results]]</f>
        <v>488</v>
      </c>
      <c r="D8" s="14"/>
    </row>
    <row r="9" spans="1:4" x14ac:dyDescent="0.2">
      <c r="A9" s="2" t="s">
        <v>9</v>
      </c>
      <c r="B9" s="3">
        <v>246</v>
      </c>
      <c r="C9" s="12">
        <f>GovByAssemblyDistrict4General[[#This Row],[Part of Suffolk County Vote Results]]</f>
        <v>246</v>
      </c>
      <c r="D9" s="14"/>
    </row>
    <row r="10" spans="1:4" x14ac:dyDescent="0.2">
      <c r="A10" s="2" t="s">
        <v>16</v>
      </c>
      <c r="B10" s="3">
        <v>134</v>
      </c>
      <c r="C10" s="12">
        <f>GovByAssemblyDistrict4General[[#This Row],[Part of Suffolk County Vote Results]]</f>
        <v>134</v>
      </c>
      <c r="D10" s="14"/>
    </row>
    <row r="11" spans="1:4" x14ac:dyDescent="0.2">
      <c r="A11" s="2" t="s">
        <v>10</v>
      </c>
      <c r="B11" s="3">
        <v>398</v>
      </c>
      <c r="C11" s="12">
        <f>GovByAssemblyDistrict4General[[#This Row],[Part of Suffolk County Vote Results]]</f>
        <v>398</v>
      </c>
      <c r="D11" s="13">
        <f>GovByAssemblyDistrict4General[[#This Row],[Total Votes by Party]]</f>
        <v>398</v>
      </c>
    </row>
    <row r="12" spans="1:4" x14ac:dyDescent="0.2">
      <c r="A12" s="4" t="s">
        <v>11</v>
      </c>
      <c r="B12" s="5">
        <v>269</v>
      </c>
      <c r="C12" s="12">
        <f>GovByAssemblyDistrict4General[[#This Row],[Part of Suffolk County Vote Results]]</f>
        <v>269</v>
      </c>
      <c r="D12" s="13">
        <f>GovByAssemblyDistrict4General[[#This Row],[Total Votes by Party]]</f>
        <v>269</v>
      </c>
    </row>
    <row r="13" spans="1:4" x14ac:dyDescent="0.2">
      <c r="A13" s="4" t="s">
        <v>0</v>
      </c>
      <c r="B13" s="5">
        <v>628</v>
      </c>
      <c r="C13" s="12">
        <f>GovByAssemblyDistrict4General[[#This Row],[Part of Suffolk County Vote Results]]</f>
        <v>628</v>
      </c>
      <c r="D13" s="14"/>
    </row>
    <row r="14" spans="1:4" x14ac:dyDescent="0.2">
      <c r="A14" s="4" t="s">
        <v>1</v>
      </c>
      <c r="B14" s="5">
        <v>50</v>
      </c>
      <c r="C14" s="12">
        <f>GovByAssemblyDistrict4General[[#This Row],[Part of Suffolk County Vote Results]]</f>
        <v>50</v>
      </c>
      <c r="D14" s="14"/>
    </row>
    <row r="15" spans="1:4" x14ac:dyDescent="0.2">
      <c r="A15" s="4" t="s">
        <v>2</v>
      </c>
      <c r="B15" s="5">
        <v>16</v>
      </c>
      <c r="C15" s="12">
        <f>GovByAssemblyDistrict4General[[#This Row],[Part of Suffolk County Vote Results]]</f>
        <v>16</v>
      </c>
      <c r="D15" s="14"/>
    </row>
    <row r="16" spans="1:4" hidden="1" x14ac:dyDescent="0.2">
      <c r="A16" s="4" t="s">
        <v>4</v>
      </c>
      <c r="B16" s="6">
        <f>SUBTOTAL(109,GovByAssemblyDistrict4General[Total Votes by Candidate])</f>
        <v>46649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A6386-C863-41E7-B99F-710998D041F2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58</v>
      </c>
    </row>
    <row r="2" spans="1:4" ht="24.95" customHeight="1" x14ac:dyDescent="0.2">
      <c r="A2" s="7" t="s">
        <v>12</v>
      </c>
      <c r="B2" s="8" t="s">
        <v>41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11294</v>
      </c>
      <c r="C3" s="12">
        <f>GovByAssemblyDistrict40General[[#This Row],[Part of Queens County Vote Results]]</f>
        <v>11294</v>
      </c>
      <c r="D3" s="13">
        <f>SUM(C3,C7,C8,C9)</f>
        <v>11817</v>
      </c>
    </row>
    <row r="4" spans="1:4" x14ac:dyDescent="0.2">
      <c r="A4" s="2" t="s">
        <v>14</v>
      </c>
      <c r="B4" s="3">
        <v>4305</v>
      </c>
      <c r="C4" s="12">
        <f>GovByAssemblyDistrict40General[[#This Row],[Part of Queens County Vote Results]]</f>
        <v>4305</v>
      </c>
      <c r="D4" s="13">
        <f>SUM(C4,C5,C10)</f>
        <v>4739</v>
      </c>
    </row>
    <row r="5" spans="1:4" x14ac:dyDescent="0.2">
      <c r="A5" s="2" t="s">
        <v>15</v>
      </c>
      <c r="B5" s="3">
        <v>391</v>
      </c>
      <c r="C5" s="12">
        <f>GovByAssemblyDistrict40General[[#This Row],[Part of Queens County Vote Results]]</f>
        <v>391</v>
      </c>
      <c r="D5" s="14"/>
    </row>
    <row r="6" spans="1:4" x14ac:dyDescent="0.2">
      <c r="A6" s="2" t="s">
        <v>6</v>
      </c>
      <c r="B6" s="3">
        <v>308</v>
      </c>
      <c r="C6" s="12">
        <f>GovByAssemblyDistrict40General[[#This Row],[Part of Queens County Vote Results]]</f>
        <v>308</v>
      </c>
      <c r="D6" s="13">
        <f>GovByAssemblyDistrict40General[[#This Row],[Total Votes by Party]]</f>
        <v>308</v>
      </c>
    </row>
    <row r="7" spans="1:4" x14ac:dyDescent="0.2">
      <c r="A7" s="2" t="s">
        <v>7</v>
      </c>
      <c r="B7" s="3">
        <v>246</v>
      </c>
      <c r="C7" s="12">
        <f>GovByAssemblyDistrict40General[[#This Row],[Part of Queens County Vote Results]]</f>
        <v>246</v>
      </c>
      <c r="D7" s="14"/>
    </row>
    <row r="8" spans="1:4" x14ac:dyDescent="0.2">
      <c r="A8" s="2" t="s">
        <v>8</v>
      </c>
      <c r="B8" s="3">
        <v>227</v>
      </c>
      <c r="C8" s="12">
        <f>GovByAssemblyDistrict40General[[#This Row],[Part of Queens County Vote Results]]</f>
        <v>227</v>
      </c>
      <c r="D8" s="14"/>
    </row>
    <row r="9" spans="1:4" x14ac:dyDescent="0.2">
      <c r="A9" s="2" t="s">
        <v>9</v>
      </c>
      <c r="B9" s="3">
        <v>50</v>
      </c>
      <c r="C9" s="12">
        <f>GovByAssemblyDistrict40General[[#This Row],[Part of Queens County Vote Results]]</f>
        <v>50</v>
      </c>
      <c r="D9" s="14"/>
    </row>
    <row r="10" spans="1:4" x14ac:dyDescent="0.2">
      <c r="A10" s="2" t="s">
        <v>16</v>
      </c>
      <c r="B10" s="3">
        <v>43</v>
      </c>
      <c r="C10" s="12">
        <f>GovByAssemblyDistrict40General[[#This Row],[Part of Queens County Vote Results]]</f>
        <v>43</v>
      </c>
      <c r="D10" s="14"/>
    </row>
    <row r="11" spans="1:4" x14ac:dyDescent="0.2">
      <c r="A11" s="2" t="s">
        <v>10</v>
      </c>
      <c r="B11" s="3">
        <v>114</v>
      </c>
      <c r="C11" s="12">
        <f>GovByAssemblyDistrict40General[[#This Row],[Part of Queens County Vote Results]]</f>
        <v>114</v>
      </c>
      <c r="D11" s="13">
        <f>GovByAssemblyDistrict40General[[#This Row],[Total Votes by Party]]</f>
        <v>114</v>
      </c>
    </row>
    <row r="12" spans="1:4" x14ac:dyDescent="0.2">
      <c r="A12" s="4" t="s">
        <v>11</v>
      </c>
      <c r="B12" s="5">
        <v>52</v>
      </c>
      <c r="C12" s="12">
        <f>GovByAssemblyDistrict40General[[#This Row],[Part of Queens County Vote Results]]</f>
        <v>52</v>
      </c>
      <c r="D12" s="13">
        <f>GovByAssemblyDistrict40General[[#This Row],[Total Votes by Party]]</f>
        <v>52</v>
      </c>
    </row>
    <row r="13" spans="1:4" x14ac:dyDescent="0.2">
      <c r="A13" s="4" t="s">
        <v>0</v>
      </c>
      <c r="B13" s="5">
        <v>337</v>
      </c>
      <c r="C13" s="12">
        <f>GovByAssemblyDistrict40General[[#This Row],[Part of Queens County Vote Results]]</f>
        <v>337</v>
      </c>
      <c r="D13" s="14"/>
    </row>
    <row r="14" spans="1:4" x14ac:dyDescent="0.2">
      <c r="A14" s="4" t="s">
        <v>1</v>
      </c>
      <c r="B14" s="5">
        <v>0</v>
      </c>
      <c r="C14" s="12">
        <f>GovByAssemblyDistrict40General[[#This Row],[Part of Queens County Vote Results]]</f>
        <v>0</v>
      </c>
      <c r="D14" s="14"/>
    </row>
    <row r="15" spans="1:4" x14ac:dyDescent="0.2">
      <c r="A15" s="4" t="s">
        <v>2</v>
      </c>
      <c r="B15" s="5">
        <v>11</v>
      </c>
      <c r="C15" s="12">
        <f>GovByAssemblyDistrict40General[[#This Row],[Part of Queens County Vote Results]]</f>
        <v>11</v>
      </c>
      <c r="D15" s="14"/>
    </row>
    <row r="16" spans="1:4" hidden="1" x14ac:dyDescent="0.2">
      <c r="A16" s="4" t="s">
        <v>4</v>
      </c>
      <c r="B16" s="6">
        <f>SUBTOTAL(109,GovByAssemblyDistrict40General[Total Votes by Candidate])</f>
        <v>17030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03BFE-B63D-48F2-97FD-4001CD30BC6E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59</v>
      </c>
    </row>
    <row r="2" spans="1:4" ht="24.95" customHeight="1" x14ac:dyDescent="0.2">
      <c r="A2" s="7" t="s">
        <v>12</v>
      </c>
      <c r="B2" s="8" t="s">
        <v>60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18502</v>
      </c>
      <c r="C3" s="12">
        <f>GovByAssemblyDistrict41General[[#This Row],[Part of Kings County Vote Results]]</f>
        <v>18502</v>
      </c>
      <c r="D3" s="13">
        <f>SUM(C3,C7,C8,C9)</f>
        <v>19189</v>
      </c>
    </row>
    <row r="4" spans="1:4" x14ac:dyDescent="0.2">
      <c r="A4" s="2" t="s">
        <v>14</v>
      </c>
      <c r="B4" s="3">
        <v>7620</v>
      </c>
      <c r="C4" s="12">
        <f>GovByAssemblyDistrict41General[[#This Row],[Part of Kings County Vote Results]]</f>
        <v>7620</v>
      </c>
      <c r="D4" s="13">
        <f>SUM(C4,C5,C10)</f>
        <v>8334</v>
      </c>
    </row>
    <row r="5" spans="1:4" x14ac:dyDescent="0.2">
      <c r="A5" s="2" t="s">
        <v>15</v>
      </c>
      <c r="B5" s="3">
        <v>674</v>
      </c>
      <c r="C5" s="12">
        <f>GovByAssemblyDistrict41General[[#This Row],[Part of Kings County Vote Results]]</f>
        <v>674</v>
      </c>
      <c r="D5" s="14"/>
    </row>
    <row r="6" spans="1:4" x14ac:dyDescent="0.2">
      <c r="A6" s="2" t="s">
        <v>6</v>
      </c>
      <c r="B6" s="3">
        <v>283</v>
      </c>
      <c r="C6" s="12">
        <f>GovByAssemblyDistrict41General[[#This Row],[Part of Kings County Vote Results]]</f>
        <v>283</v>
      </c>
      <c r="D6" s="13">
        <f>GovByAssemblyDistrict41General[[#This Row],[Total Votes by Party]]</f>
        <v>283</v>
      </c>
    </row>
    <row r="7" spans="1:4" x14ac:dyDescent="0.2">
      <c r="A7" s="2" t="s">
        <v>7</v>
      </c>
      <c r="B7" s="3">
        <v>411</v>
      </c>
      <c r="C7" s="12">
        <f>GovByAssemblyDistrict41General[[#This Row],[Part of Kings County Vote Results]]</f>
        <v>411</v>
      </c>
      <c r="D7" s="14"/>
    </row>
    <row r="8" spans="1:4" x14ac:dyDescent="0.2">
      <c r="A8" s="2" t="s">
        <v>8</v>
      </c>
      <c r="B8" s="3">
        <v>242</v>
      </c>
      <c r="C8" s="12">
        <f>GovByAssemblyDistrict41General[[#This Row],[Part of Kings County Vote Results]]</f>
        <v>242</v>
      </c>
      <c r="D8" s="14"/>
    </row>
    <row r="9" spans="1:4" x14ac:dyDescent="0.2">
      <c r="A9" s="2" t="s">
        <v>9</v>
      </c>
      <c r="B9" s="3">
        <v>34</v>
      </c>
      <c r="C9" s="12">
        <f>GovByAssemblyDistrict41General[[#This Row],[Part of Kings County Vote Results]]</f>
        <v>34</v>
      </c>
      <c r="D9" s="14"/>
    </row>
    <row r="10" spans="1:4" x14ac:dyDescent="0.2">
      <c r="A10" s="2" t="s">
        <v>16</v>
      </c>
      <c r="B10" s="3">
        <v>40</v>
      </c>
      <c r="C10" s="12">
        <f>GovByAssemblyDistrict41General[[#This Row],[Part of Kings County Vote Results]]</f>
        <v>40</v>
      </c>
      <c r="D10" s="14"/>
    </row>
    <row r="11" spans="1:4" x14ac:dyDescent="0.2">
      <c r="A11" s="2" t="s">
        <v>10</v>
      </c>
      <c r="B11" s="3">
        <v>134</v>
      </c>
      <c r="C11" s="12">
        <f>GovByAssemblyDistrict41General[[#This Row],[Part of Kings County Vote Results]]</f>
        <v>134</v>
      </c>
      <c r="D11" s="13">
        <f>GovByAssemblyDistrict41General[[#This Row],[Total Votes by Party]]</f>
        <v>134</v>
      </c>
    </row>
    <row r="12" spans="1:4" x14ac:dyDescent="0.2">
      <c r="A12" s="4" t="s">
        <v>11</v>
      </c>
      <c r="B12" s="5">
        <v>79</v>
      </c>
      <c r="C12" s="12">
        <f>GovByAssemblyDistrict41General[[#This Row],[Part of Kings County Vote Results]]</f>
        <v>79</v>
      </c>
      <c r="D12" s="13">
        <f>GovByAssemblyDistrict41General[[#This Row],[Total Votes by Party]]</f>
        <v>79</v>
      </c>
    </row>
    <row r="13" spans="1:4" x14ac:dyDescent="0.2">
      <c r="A13" s="4" t="s">
        <v>0</v>
      </c>
      <c r="B13" s="5">
        <v>487</v>
      </c>
      <c r="C13" s="12">
        <f>GovByAssemblyDistrict41General[[#This Row],[Part of Kings County Vote Results]]</f>
        <v>487</v>
      </c>
      <c r="D13" s="14"/>
    </row>
    <row r="14" spans="1:4" x14ac:dyDescent="0.2">
      <c r="A14" s="4" t="s">
        <v>1</v>
      </c>
      <c r="B14" s="5">
        <v>0</v>
      </c>
      <c r="C14" s="12">
        <f>GovByAssemblyDistrict41General[[#This Row],[Part of Kings County Vote Results]]</f>
        <v>0</v>
      </c>
      <c r="D14" s="14"/>
    </row>
    <row r="15" spans="1:4" x14ac:dyDescent="0.2">
      <c r="A15" s="4" t="s">
        <v>2</v>
      </c>
      <c r="B15" s="5">
        <v>32</v>
      </c>
      <c r="C15" s="12">
        <f>GovByAssemblyDistrict41General[[#This Row],[Part of Kings County Vote Results]]</f>
        <v>32</v>
      </c>
      <c r="D15" s="14"/>
    </row>
    <row r="16" spans="1:4" hidden="1" x14ac:dyDescent="0.2">
      <c r="A16" s="4" t="s">
        <v>4</v>
      </c>
      <c r="B16" s="6">
        <f>SUBTOTAL(109,GovByAssemblyDistrict41General[Total Votes by Candidate])</f>
        <v>28019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83CA8-1DB7-4C59-899F-1173998C88B5}">
  <dimension ref="A1:D16"/>
  <sheetViews>
    <sheetView workbookViewId="0">
      <selection activeCell="B17" sqref="B17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61</v>
      </c>
    </row>
    <row r="2" spans="1:4" ht="24.95" customHeight="1" x14ac:dyDescent="0.2">
      <c r="A2" s="7" t="s">
        <v>12</v>
      </c>
      <c r="B2" s="8" t="s">
        <v>60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26911</v>
      </c>
      <c r="C3" s="12">
        <f>GovByAssemblyDistrict42General[[#This Row],[Part of Kings County Vote Results]]</f>
        <v>26911</v>
      </c>
      <c r="D3" s="13">
        <f>SUM(C3,C7,C8,C9)</f>
        <v>28623</v>
      </c>
    </row>
    <row r="4" spans="1:4" x14ac:dyDescent="0.2">
      <c r="A4" s="2" t="s">
        <v>14</v>
      </c>
      <c r="B4" s="3">
        <v>2213</v>
      </c>
      <c r="C4" s="12">
        <f>GovByAssemblyDistrict42General[[#This Row],[Part of Kings County Vote Results]]</f>
        <v>2213</v>
      </c>
      <c r="D4" s="13">
        <f>SUM(C4,C5,C10)</f>
        <v>2484</v>
      </c>
    </row>
    <row r="5" spans="1:4" x14ac:dyDescent="0.2">
      <c r="A5" s="2" t="s">
        <v>15</v>
      </c>
      <c r="B5" s="3">
        <v>243</v>
      </c>
      <c r="C5" s="12">
        <f>GovByAssemblyDistrict42General[[#This Row],[Part of Kings County Vote Results]]</f>
        <v>243</v>
      </c>
      <c r="D5" s="14"/>
    </row>
    <row r="6" spans="1:4" x14ac:dyDescent="0.2">
      <c r="A6" s="2" t="s">
        <v>6</v>
      </c>
      <c r="B6" s="3">
        <v>790</v>
      </c>
      <c r="C6" s="12">
        <f>GovByAssemblyDistrict42General[[#This Row],[Part of Kings County Vote Results]]</f>
        <v>790</v>
      </c>
      <c r="D6" s="13">
        <f>GovByAssemblyDistrict42General[[#This Row],[Total Votes by Party]]</f>
        <v>790</v>
      </c>
    </row>
    <row r="7" spans="1:4" x14ac:dyDescent="0.2">
      <c r="A7" s="2" t="s">
        <v>7</v>
      </c>
      <c r="B7" s="3">
        <v>1410</v>
      </c>
      <c r="C7" s="12">
        <f>GovByAssemblyDistrict42General[[#This Row],[Part of Kings County Vote Results]]</f>
        <v>1410</v>
      </c>
      <c r="D7" s="14"/>
    </row>
    <row r="8" spans="1:4" x14ac:dyDescent="0.2">
      <c r="A8" s="2" t="s">
        <v>8</v>
      </c>
      <c r="B8" s="3">
        <v>229</v>
      </c>
      <c r="C8" s="12">
        <f>GovByAssemblyDistrict42General[[#This Row],[Part of Kings County Vote Results]]</f>
        <v>229</v>
      </c>
      <c r="D8" s="14"/>
    </row>
    <row r="9" spans="1:4" x14ac:dyDescent="0.2">
      <c r="A9" s="2" t="s">
        <v>9</v>
      </c>
      <c r="B9" s="3">
        <v>73</v>
      </c>
      <c r="C9" s="12">
        <f>GovByAssemblyDistrict42General[[#This Row],[Part of Kings County Vote Results]]</f>
        <v>73</v>
      </c>
      <c r="D9" s="14"/>
    </row>
    <row r="10" spans="1:4" x14ac:dyDescent="0.2">
      <c r="A10" s="2" t="s">
        <v>16</v>
      </c>
      <c r="B10" s="3">
        <v>28</v>
      </c>
      <c r="C10" s="12">
        <f>GovByAssemblyDistrict42General[[#This Row],[Part of Kings County Vote Results]]</f>
        <v>28</v>
      </c>
      <c r="D10" s="14"/>
    </row>
    <row r="11" spans="1:4" x14ac:dyDescent="0.2">
      <c r="A11" s="2" t="s">
        <v>10</v>
      </c>
      <c r="B11" s="3">
        <v>132</v>
      </c>
      <c r="C11" s="12">
        <f>GovByAssemblyDistrict42General[[#This Row],[Part of Kings County Vote Results]]</f>
        <v>132</v>
      </c>
      <c r="D11" s="13">
        <f>GovByAssemblyDistrict42General[[#This Row],[Total Votes by Party]]</f>
        <v>132</v>
      </c>
    </row>
    <row r="12" spans="1:4" x14ac:dyDescent="0.2">
      <c r="A12" s="4" t="s">
        <v>11</v>
      </c>
      <c r="B12" s="5">
        <v>145</v>
      </c>
      <c r="C12" s="12">
        <f>GovByAssemblyDistrict42General[[#This Row],[Part of Kings County Vote Results]]</f>
        <v>145</v>
      </c>
      <c r="D12" s="13">
        <f>GovByAssemblyDistrict42General[[#This Row],[Total Votes by Party]]</f>
        <v>145</v>
      </c>
    </row>
    <row r="13" spans="1:4" x14ac:dyDescent="0.2">
      <c r="A13" s="4" t="s">
        <v>0</v>
      </c>
      <c r="B13" s="5">
        <v>403</v>
      </c>
      <c r="C13" s="12">
        <f>GovByAssemblyDistrict42General[[#This Row],[Part of Kings County Vote Results]]</f>
        <v>403</v>
      </c>
      <c r="D13" s="14"/>
    </row>
    <row r="14" spans="1:4" x14ac:dyDescent="0.2">
      <c r="A14" s="4" t="s">
        <v>1</v>
      </c>
      <c r="B14" s="5">
        <v>0</v>
      </c>
      <c r="C14" s="12">
        <f>GovByAssemblyDistrict42General[[#This Row],[Part of Kings County Vote Results]]</f>
        <v>0</v>
      </c>
      <c r="D14" s="14"/>
    </row>
    <row r="15" spans="1:4" x14ac:dyDescent="0.2">
      <c r="A15" s="4" t="s">
        <v>2</v>
      </c>
      <c r="B15" s="5">
        <v>104</v>
      </c>
      <c r="C15" s="12">
        <f>GovByAssemblyDistrict42General[[#This Row],[Part of Kings County Vote Results]]</f>
        <v>104</v>
      </c>
      <c r="D15" s="14"/>
    </row>
    <row r="16" spans="1:4" hidden="1" x14ac:dyDescent="0.2">
      <c r="A16" s="4" t="s">
        <v>4</v>
      </c>
      <c r="B16" s="6">
        <f>SUBTOTAL(109,GovByAssemblyDistrict42General[Total Votes by Candidate])</f>
        <v>32174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34861-7C51-4095-9098-0568AE096043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62</v>
      </c>
    </row>
    <row r="2" spans="1:4" ht="24.95" customHeight="1" x14ac:dyDescent="0.2">
      <c r="A2" s="7" t="s">
        <v>12</v>
      </c>
      <c r="B2" s="8" t="s">
        <v>60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32061</v>
      </c>
      <c r="C3" s="12">
        <f>GovByAssemblyDistrict43General[[#This Row],[Part of Kings County Vote Results]]</f>
        <v>32061</v>
      </c>
      <c r="D3" s="13">
        <f>SUM(C3,C7,C8,C9)</f>
        <v>34359</v>
      </c>
    </row>
    <row r="4" spans="1:4" x14ac:dyDescent="0.2">
      <c r="A4" s="2" t="s">
        <v>14</v>
      </c>
      <c r="B4" s="3">
        <v>1655</v>
      </c>
      <c r="C4" s="12">
        <f>GovByAssemblyDistrict43General[[#This Row],[Part of Kings County Vote Results]]</f>
        <v>1655</v>
      </c>
      <c r="D4" s="13">
        <f>SUM(C4,C5,C10)</f>
        <v>1934</v>
      </c>
    </row>
    <row r="5" spans="1:4" x14ac:dyDescent="0.2">
      <c r="A5" s="2" t="s">
        <v>15</v>
      </c>
      <c r="B5" s="3">
        <v>245</v>
      </c>
      <c r="C5" s="12">
        <f>GovByAssemblyDistrict43General[[#This Row],[Part of Kings County Vote Results]]</f>
        <v>245</v>
      </c>
      <c r="D5" s="14"/>
    </row>
    <row r="6" spans="1:4" x14ac:dyDescent="0.2">
      <c r="A6" s="2" t="s">
        <v>6</v>
      </c>
      <c r="B6" s="3">
        <v>1098</v>
      </c>
      <c r="C6" s="12">
        <f>GovByAssemblyDistrict43General[[#This Row],[Part of Kings County Vote Results]]</f>
        <v>1098</v>
      </c>
      <c r="D6" s="13">
        <f>GovByAssemblyDistrict43General[[#This Row],[Total Votes by Party]]</f>
        <v>1098</v>
      </c>
    </row>
    <row r="7" spans="1:4" x14ac:dyDescent="0.2">
      <c r="A7" s="2" t="s">
        <v>7</v>
      </c>
      <c r="B7" s="3">
        <v>1896</v>
      </c>
      <c r="C7" s="12">
        <f>GovByAssemblyDistrict43General[[#This Row],[Part of Kings County Vote Results]]</f>
        <v>1896</v>
      </c>
      <c r="D7" s="14"/>
    </row>
    <row r="8" spans="1:4" x14ac:dyDescent="0.2">
      <c r="A8" s="2" t="s">
        <v>8</v>
      </c>
      <c r="B8" s="3">
        <v>283</v>
      </c>
      <c r="C8" s="12">
        <f>GovByAssemblyDistrict43General[[#This Row],[Part of Kings County Vote Results]]</f>
        <v>283</v>
      </c>
      <c r="D8" s="14"/>
    </row>
    <row r="9" spans="1:4" x14ac:dyDescent="0.2">
      <c r="A9" s="2" t="s">
        <v>9</v>
      </c>
      <c r="B9" s="3">
        <v>119</v>
      </c>
      <c r="C9" s="12">
        <f>GovByAssemblyDistrict43General[[#This Row],[Part of Kings County Vote Results]]</f>
        <v>119</v>
      </c>
      <c r="D9" s="14"/>
    </row>
    <row r="10" spans="1:4" x14ac:dyDescent="0.2">
      <c r="A10" s="2" t="s">
        <v>16</v>
      </c>
      <c r="B10" s="3">
        <v>34</v>
      </c>
      <c r="C10" s="12">
        <f>GovByAssemblyDistrict43General[[#This Row],[Part of Kings County Vote Results]]</f>
        <v>34</v>
      </c>
      <c r="D10" s="14"/>
    </row>
    <row r="11" spans="1:4" x14ac:dyDescent="0.2">
      <c r="A11" s="2" t="s">
        <v>10</v>
      </c>
      <c r="B11" s="3">
        <v>215</v>
      </c>
      <c r="C11" s="12">
        <f>GovByAssemblyDistrict43General[[#This Row],[Part of Kings County Vote Results]]</f>
        <v>215</v>
      </c>
      <c r="D11" s="13">
        <f>GovByAssemblyDistrict43General[[#This Row],[Total Votes by Party]]</f>
        <v>215</v>
      </c>
    </row>
    <row r="12" spans="1:4" x14ac:dyDescent="0.2">
      <c r="A12" s="4" t="s">
        <v>11</v>
      </c>
      <c r="B12" s="5">
        <v>240</v>
      </c>
      <c r="C12" s="12">
        <f>GovByAssemblyDistrict43General[[#This Row],[Part of Kings County Vote Results]]</f>
        <v>240</v>
      </c>
      <c r="D12" s="13">
        <f>GovByAssemblyDistrict43General[[#This Row],[Total Votes by Party]]</f>
        <v>240</v>
      </c>
    </row>
    <row r="13" spans="1:4" x14ac:dyDescent="0.2">
      <c r="A13" s="4" t="s">
        <v>0</v>
      </c>
      <c r="B13" s="5">
        <v>435</v>
      </c>
      <c r="C13" s="12">
        <f>GovByAssemblyDistrict43General[[#This Row],[Part of Kings County Vote Results]]</f>
        <v>435</v>
      </c>
      <c r="D13" s="14"/>
    </row>
    <row r="14" spans="1:4" x14ac:dyDescent="0.2">
      <c r="A14" s="4" t="s">
        <v>1</v>
      </c>
      <c r="B14" s="5">
        <v>0</v>
      </c>
      <c r="C14" s="12">
        <f>GovByAssemblyDistrict43General[[#This Row],[Part of Kings County Vote Results]]</f>
        <v>0</v>
      </c>
      <c r="D14" s="14"/>
    </row>
    <row r="15" spans="1:4" x14ac:dyDescent="0.2">
      <c r="A15" s="4" t="s">
        <v>2</v>
      </c>
      <c r="B15" s="5">
        <v>113</v>
      </c>
      <c r="C15" s="12">
        <f>GovByAssemblyDistrict43General[[#This Row],[Part of Kings County Vote Results]]</f>
        <v>113</v>
      </c>
      <c r="D15" s="14"/>
    </row>
    <row r="16" spans="1:4" hidden="1" x14ac:dyDescent="0.2">
      <c r="A16" s="4" t="s">
        <v>4</v>
      </c>
      <c r="B16" s="6">
        <f>SUBTOTAL(109,GovByAssemblyDistrict43General[Total Votes by Candidate])</f>
        <v>37846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39C7F-9D68-4EEE-83A5-EC398B2BBD8B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63</v>
      </c>
    </row>
    <row r="2" spans="1:4" ht="24.95" customHeight="1" x14ac:dyDescent="0.2">
      <c r="A2" s="7" t="s">
        <v>12</v>
      </c>
      <c r="B2" s="8" t="s">
        <v>60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23893</v>
      </c>
      <c r="C3" s="12">
        <f>GovByAssemblyDistrict44General[[#This Row],[Part of Kings County Vote Results]]</f>
        <v>23893</v>
      </c>
      <c r="D3" s="13">
        <f>SUM(C3,C7,C8,C9)</f>
        <v>28085</v>
      </c>
    </row>
    <row r="4" spans="1:4" x14ac:dyDescent="0.2">
      <c r="A4" s="2" t="s">
        <v>14</v>
      </c>
      <c r="B4" s="3">
        <v>4378</v>
      </c>
      <c r="C4" s="12">
        <f>GovByAssemblyDistrict44General[[#This Row],[Part of Kings County Vote Results]]</f>
        <v>4378</v>
      </c>
      <c r="D4" s="13">
        <f>SUM(C4,C5,C10)</f>
        <v>5062</v>
      </c>
    </row>
    <row r="5" spans="1:4" x14ac:dyDescent="0.2">
      <c r="A5" s="2" t="s">
        <v>15</v>
      </c>
      <c r="B5" s="3">
        <v>613</v>
      </c>
      <c r="C5" s="12">
        <f>GovByAssemblyDistrict44General[[#This Row],[Part of Kings County Vote Results]]</f>
        <v>613</v>
      </c>
      <c r="D5" s="14"/>
    </row>
    <row r="6" spans="1:4" x14ac:dyDescent="0.2">
      <c r="A6" s="2" t="s">
        <v>6</v>
      </c>
      <c r="B6" s="3">
        <v>1514</v>
      </c>
      <c r="C6" s="12">
        <f>GovByAssemblyDistrict44General[[#This Row],[Part of Kings County Vote Results]]</f>
        <v>1514</v>
      </c>
      <c r="D6" s="13">
        <f>GovByAssemblyDistrict44General[[#This Row],[Total Votes by Party]]</f>
        <v>1514</v>
      </c>
    </row>
    <row r="7" spans="1:4" x14ac:dyDescent="0.2">
      <c r="A7" s="2" t="s">
        <v>7</v>
      </c>
      <c r="B7" s="3">
        <v>3729</v>
      </c>
      <c r="C7" s="12">
        <f>GovByAssemblyDistrict44General[[#This Row],[Part of Kings County Vote Results]]</f>
        <v>3729</v>
      </c>
      <c r="D7" s="14"/>
    </row>
    <row r="8" spans="1:4" x14ac:dyDescent="0.2">
      <c r="A8" s="2" t="s">
        <v>8</v>
      </c>
      <c r="B8" s="3">
        <v>297</v>
      </c>
      <c r="C8" s="12">
        <f>GovByAssemblyDistrict44General[[#This Row],[Part of Kings County Vote Results]]</f>
        <v>297</v>
      </c>
      <c r="D8" s="14"/>
    </row>
    <row r="9" spans="1:4" x14ac:dyDescent="0.2">
      <c r="A9" s="2" t="s">
        <v>9</v>
      </c>
      <c r="B9" s="3">
        <v>166</v>
      </c>
      <c r="C9" s="12">
        <f>GovByAssemblyDistrict44General[[#This Row],[Part of Kings County Vote Results]]</f>
        <v>166</v>
      </c>
      <c r="D9" s="14"/>
    </row>
    <row r="10" spans="1:4" x14ac:dyDescent="0.2">
      <c r="A10" s="2" t="s">
        <v>16</v>
      </c>
      <c r="B10" s="3">
        <v>71</v>
      </c>
      <c r="C10" s="12">
        <f>GovByAssemblyDistrict44General[[#This Row],[Part of Kings County Vote Results]]</f>
        <v>71</v>
      </c>
      <c r="D10" s="14"/>
    </row>
    <row r="11" spans="1:4" x14ac:dyDescent="0.2">
      <c r="A11" s="2" t="s">
        <v>10</v>
      </c>
      <c r="B11" s="3">
        <v>229</v>
      </c>
      <c r="C11" s="12">
        <f>GovByAssemblyDistrict44General[[#This Row],[Part of Kings County Vote Results]]</f>
        <v>229</v>
      </c>
      <c r="D11" s="13">
        <f>GovByAssemblyDistrict44General[[#This Row],[Total Votes by Party]]</f>
        <v>229</v>
      </c>
    </row>
    <row r="12" spans="1:4" x14ac:dyDescent="0.2">
      <c r="A12" s="4" t="s">
        <v>11</v>
      </c>
      <c r="B12" s="5">
        <v>313</v>
      </c>
      <c r="C12" s="12">
        <f>GovByAssemblyDistrict44General[[#This Row],[Part of Kings County Vote Results]]</f>
        <v>313</v>
      </c>
      <c r="D12" s="13">
        <f>GovByAssemblyDistrict44General[[#This Row],[Total Votes by Party]]</f>
        <v>313</v>
      </c>
    </row>
    <row r="13" spans="1:4" x14ac:dyDescent="0.2">
      <c r="A13" s="4" t="s">
        <v>0</v>
      </c>
      <c r="B13" s="5">
        <v>732</v>
      </c>
      <c r="C13" s="12">
        <f>GovByAssemblyDistrict44General[[#This Row],[Part of Kings County Vote Results]]</f>
        <v>732</v>
      </c>
      <c r="D13" s="14"/>
    </row>
    <row r="14" spans="1:4" x14ac:dyDescent="0.2">
      <c r="A14" s="4" t="s">
        <v>1</v>
      </c>
      <c r="B14" s="5">
        <v>0</v>
      </c>
      <c r="C14" s="12">
        <f>GovByAssemblyDistrict44General[[#This Row],[Part of Kings County Vote Results]]</f>
        <v>0</v>
      </c>
      <c r="D14" s="14"/>
    </row>
    <row r="15" spans="1:4" x14ac:dyDescent="0.2">
      <c r="A15" s="4" t="s">
        <v>2</v>
      </c>
      <c r="B15" s="5">
        <v>192</v>
      </c>
      <c r="C15" s="12">
        <f>GovByAssemblyDistrict44General[[#This Row],[Part of Kings County Vote Results]]</f>
        <v>192</v>
      </c>
      <c r="D15" s="14"/>
    </row>
    <row r="16" spans="1:4" hidden="1" x14ac:dyDescent="0.2">
      <c r="A16" s="4" t="s">
        <v>4</v>
      </c>
      <c r="B16" s="6">
        <f>SUBTOTAL(109,GovByAssemblyDistrict44General[Total Votes by Candidate])</f>
        <v>35203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46BD4-4170-46F0-8F52-CF09BD4556A4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64</v>
      </c>
    </row>
    <row r="2" spans="1:4" ht="24.95" customHeight="1" x14ac:dyDescent="0.2">
      <c r="A2" s="7" t="s">
        <v>12</v>
      </c>
      <c r="B2" s="8" t="s">
        <v>60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9109</v>
      </c>
      <c r="C3" s="12">
        <f>GovByAssemblyDistrict45General[[#This Row],[Part of Kings County Vote Results]]</f>
        <v>9109</v>
      </c>
      <c r="D3" s="13">
        <f>SUM(C3,C7,C8,C9)</f>
        <v>9599</v>
      </c>
    </row>
    <row r="4" spans="1:4" x14ac:dyDescent="0.2">
      <c r="A4" s="2" t="s">
        <v>14</v>
      </c>
      <c r="B4" s="3">
        <v>8965</v>
      </c>
      <c r="C4" s="12">
        <f>GovByAssemblyDistrict45General[[#This Row],[Part of Kings County Vote Results]]</f>
        <v>8965</v>
      </c>
      <c r="D4" s="13">
        <f>SUM(C4,C5,C10)</f>
        <v>9630</v>
      </c>
    </row>
    <row r="5" spans="1:4" x14ac:dyDescent="0.2">
      <c r="A5" s="2" t="s">
        <v>15</v>
      </c>
      <c r="B5" s="3">
        <v>628</v>
      </c>
      <c r="C5" s="12">
        <f>GovByAssemblyDistrict45General[[#This Row],[Part of Kings County Vote Results]]</f>
        <v>628</v>
      </c>
      <c r="D5" s="14"/>
    </row>
    <row r="6" spans="1:4" x14ac:dyDescent="0.2">
      <c r="A6" s="2" t="s">
        <v>6</v>
      </c>
      <c r="B6" s="3">
        <v>313</v>
      </c>
      <c r="C6" s="12">
        <f>GovByAssemblyDistrict45General[[#This Row],[Part of Kings County Vote Results]]</f>
        <v>313</v>
      </c>
      <c r="D6" s="13">
        <f>GovByAssemblyDistrict45General[[#This Row],[Total Votes by Party]]</f>
        <v>313</v>
      </c>
    </row>
    <row r="7" spans="1:4" x14ac:dyDescent="0.2">
      <c r="A7" s="2" t="s">
        <v>7</v>
      </c>
      <c r="B7" s="3">
        <v>279</v>
      </c>
      <c r="C7" s="12">
        <f>GovByAssemblyDistrict45General[[#This Row],[Part of Kings County Vote Results]]</f>
        <v>279</v>
      </c>
      <c r="D7" s="14"/>
    </row>
    <row r="8" spans="1:4" x14ac:dyDescent="0.2">
      <c r="A8" s="2" t="s">
        <v>8</v>
      </c>
      <c r="B8" s="3">
        <v>179</v>
      </c>
      <c r="C8" s="12">
        <f>GovByAssemblyDistrict45General[[#This Row],[Part of Kings County Vote Results]]</f>
        <v>179</v>
      </c>
      <c r="D8" s="14"/>
    </row>
    <row r="9" spans="1:4" x14ac:dyDescent="0.2">
      <c r="A9" s="2" t="s">
        <v>9</v>
      </c>
      <c r="B9" s="3">
        <v>32</v>
      </c>
      <c r="C9" s="12">
        <f>GovByAssemblyDistrict45General[[#This Row],[Part of Kings County Vote Results]]</f>
        <v>32</v>
      </c>
      <c r="D9" s="14"/>
    </row>
    <row r="10" spans="1:4" x14ac:dyDescent="0.2">
      <c r="A10" s="2" t="s">
        <v>16</v>
      </c>
      <c r="B10" s="3">
        <v>37</v>
      </c>
      <c r="C10" s="12">
        <f>GovByAssemblyDistrict45General[[#This Row],[Part of Kings County Vote Results]]</f>
        <v>37</v>
      </c>
      <c r="D10" s="14"/>
    </row>
    <row r="11" spans="1:4" x14ac:dyDescent="0.2">
      <c r="A11" s="2" t="s">
        <v>10</v>
      </c>
      <c r="B11" s="3">
        <v>151</v>
      </c>
      <c r="C11" s="12">
        <f>GovByAssemblyDistrict45General[[#This Row],[Part of Kings County Vote Results]]</f>
        <v>151</v>
      </c>
      <c r="D11" s="13">
        <f>GovByAssemblyDistrict45General[[#This Row],[Total Votes by Party]]</f>
        <v>151</v>
      </c>
    </row>
    <row r="12" spans="1:4" x14ac:dyDescent="0.2">
      <c r="A12" s="4" t="s">
        <v>11</v>
      </c>
      <c r="B12" s="5">
        <v>67</v>
      </c>
      <c r="C12" s="12">
        <f>GovByAssemblyDistrict45General[[#This Row],[Part of Kings County Vote Results]]</f>
        <v>67</v>
      </c>
      <c r="D12" s="13">
        <f>GovByAssemblyDistrict45General[[#This Row],[Total Votes by Party]]</f>
        <v>67</v>
      </c>
    </row>
    <row r="13" spans="1:4" x14ac:dyDescent="0.2">
      <c r="A13" s="4" t="s">
        <v>0</v>
      </c>
      <c r="B13" s="5">
        <v>513</v>
      </c>
      <c r="C13" s="12">
        <f>GovByAssemblyDistrict45General[[#This Row],[Part of Kings County Vote Results]]</f>
        <v>513</v>
      </c>
      <c r="D13" s="14"/>
    </row>
    <row r="14" spans="1:4" x14ac:dyDescent="0.2">
      <c r="A14" s="4" t="s">
        <v>1</v>
      </c>
      <c r="B14" s="5">
        <v>0</v>
      </c>
      <c r="C14" s="12">
        <f>GovByAssemblyDistrict45General[[#This Row],[Part of Kings County Vote Results]]</f>
        <v>0</v>
      </c>
      <c r="D14" s="14"/>
    </row>
    <row r="15" spans="1:4" x14ac:dyDescent="0.2">
      <c r="A15" s="4" t="s">
        <v>2</v>
      </c>
      <c r="B15" s="5">
        <v>30</v>
      </c>
      <c r="C15" s="12">
        <f>GovByAssemblyDistrict45General[[#This Row],[Part of Kings County Vote Results]]</f>
        <v>30</v>
      </c>
      <c r="D15" s="14"/>
    </row>
    <row r="16" spans="1:4" hidden="1" x14ac:dyDescent="0.2">
      <c r="A16" s="4" t="s">
        <v>4</v>
      </c>
      <c r="B16" s="6">
        <f>SUBTOTAL(109,GovByAssemblyDistrict45General[Total Votes by Candidate])</f>
        <v>19760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B9EA4-BA08-4762-B60F-BD285982C105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65</v>
      </c>
    </row>
    <row r="2" spans="1:4" ht="24.95" customHeight="1" x14ac:dyDescent="0.2">
      <c r="A2" s="7" t="s">
        <v>12</v>
      </c>
      <c r="B2" s="8" t="s">
        <v>60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16729</v>
      </c>
      <c r="C3" s="12">
        <f>GovByAssemblyDistrict46General[[#This Row],[Part of Kings County Vote Results]]</f>
        <v>16729</v>
      </c>
      <c r="D3" s="13">
        <f>SUM(C3,C7,C8,C9)</f>
        <v>17613</v>
      </c>
    </row>
    <row r="4" spans="1:4" x14ac:dyDescent="0.2">
      <c r="A4" s="2" t="s">
        <v>14</v>
      </c>
      <c r="B4" s="3">
        <v>10605</v>
      </c>
      <c r="C4" s="12">
        <f>GovByAssemblyDistrict46General[[#This Row],[Part of Kings County Vote Results]]</f>
        <v>10605</v>
      </c>
      <c r="D4" s="13">
        <f>SUM(C4,C5,C10)</f>
        <v>11483</v>
      </c>
    </row>
    <row r="5" spans="1:4" x14ac:dyDescent="0.2">
      <c r="A5" s="2" t="s">
        <v>15</v>
      </c>
      <c r="B5" s="3">
        <v>814</v>
      </c>
      <c r="C5" s="12">
        <f>GovByAssemblyDistrict46General[[#This Row],[Part of Kings County Vote Results]]</f>
        <v>814</v>
      </c>
      <c r="D5" s="14"/>
    </row>
    <row r="6" spans="1:4" x14ac:dyDescent="0.2">
      <c r="A6" s="2" t="s">
        <v>6</v>
      </c>
      <c r="B6" s="3">
        <v>426</v>
      </c>
      <c r="C6" s="12">
        <f>GovByAssemblyDistrict46General[[#This Row],[Part of Kings County Vote Results]]</f>
        <v>426</v>
      </c>
      <c r="D6" s="13">
        <f>GovByAssemblyDistrict46General[[#This Row],[Total Votes by Party]]</f>
        <v>426</v>
      </c>
    </row>
    <row r="7" spans="1:4" x14ac:dyDescent="0.2">
      <c r="A7" s="2" t="s">
        <v>7</v>
      </c>
      <c r="B7" s="3">
        <v>501</v>
      </c>
      <c r="C7" s="12">
        <f>GovByAssemblyDistrict46General[[#This Row],[Part of Kings County Vote Results]]</f>
        <v>501</v>
      </c>
      <c r="D7" s="14"/>
    </row>
    <row r="8" spans="1:4" x14ac:dyDescent="0.2">
      <c r="A8" s="2" t="s">
        <v>8</v>
      </c>
      <c r="B8" s="3">
        <v>323</v>
      </c>
      <c r="C8" s="12">
        <f>GovByAssemblyDistrict46General[[#This Row],[Part of Kings County Vote Results]]</f>
        <v>323</v>
      </c>
      <c r="D8" s="14"/>
    </row>
    <row r="9" spans="1:4" x14ac:dyDescent="0.2">
      <c r="A9" s="2" t="s">
        <v>9</v>
      </c>
      <c r="B9" s="3">
        <v>60</v>
      </c>
      <c r="C9" s="12">
        <f>GovByAssemblyDistrict46General[[#This Row],[Part of Kings County Vote Results]]</f>
        <v>60</v>
      </c>
      <c r="D9" s="14"/>
    </row>
    <row r="10" spans="1:4" x14ac:dyDescent="0.2">
      <c r="A10" s="2" t="s">
        <v>16</v>
      </c>
      <c r="B10" s="3">
        <v>64</v>
      </c>
      <c r="C10" s="12">
        <f>GovByAssemblyDistrict46General[[#This Row],[Part of Kings County Vote Results]]</f>
        <v>64</v>
      </c>
      <c r="D10" s="14"/>
    </row>
    <row r="11" spans="1:4" x14ac:dyDescent="0.2">
      <c r="A11" s="2" t="s">
        <v>10</v>
      </c>
      <c r="B11" s="3">
        <v>187</v>
      </c>
      <c r="C11" s="12">
        <f>GovByAssemblyDistrict46General[[#This Row],[Part of Kings County Vote Results]]</f>
        <v>187</v>
      </c>
      <c r="D11" s="13">
        <f>GovByAssemblyDistrict46General[[#This Row],[Total Votes by Party]]</f>
        <v>187</v>
      </c>
    </row>
    <row r="12" spans="1:4" x14ac:dyDescent="0.2">
      <c r="A12" s="4" t="s">
        <v>11</v>
      </c>
      <c r="B12" s="5">
        <v>134</v>
      </c>
      <c r="C12" s="12">
        <f>GovByAssemblyDistrict46General[[#This Row],[Part of Kings County Vote Results]]</f>
        <v>134</v>
      </c>
      <c r="D12" s="13">
        <f>GovByAssemblyDistrict46General[[#This Row],[Total Votes by Party]]</f>
        <v>134</v>
      </c>
    </row>
    <row r="13" spans="1:4" x14ac:dyDescent="0.2">
      <c r="A13" s="4" t="s">
        <v>0</v>
      </c>
      <c r="B13" s="5">
        <v>778</v>
      </c>
      <c r="C13" s="12">
        <f>GovByAssemblyDistrict46General[[#This Row],[Part of Kings County Vote Results]]</f>
        <v>778</v>
      </c>
      <c r="D13" s="14"/>
    </row>
    <row r="14" spans="1:4" x14ac:dyDescent="0.2">
      <c r="A14" s="4" t="s">
        <v>1</v>
      </c>
      <c r="B14" s="5">
        <v>0</v>
      </c>
      <c r="C14" s="12">
        <f>GovByAssemblyDistrict46General[[#This Row],[Part of Kings County Vote Results]]</f>
        <v>0</v>
      </c>
      <c r="D14" s="14"/>
    </row>
    <row r="15" spans="1:4" x14ac:dyDescent="0.2">
      <c r="A15" s="4" t="s">
        <v>2</v>
      </c>
      <c r="B15" s="5">
        <v>46</v>
      </c>
      <c r="C15" s="12">
        <f>GovByAssemblyDistrict46General[[#This Row],[Part of Kings County Vote Results]]</f>
        <v>46</v>
      </c>
      <c r="D15" s="14"/>
    </row>
    <row r="16" spans="1:4" hidden="1" x14ac:dyDescent="0.2">
      <c r="A16" s="4" t="s">
        <v>4</v>
      </c>
      <c r="B16" s="6">
        <f>SUBTOTAL(109,GovByAssemblyDistrict46General[Total Votes by Candidate])</f>
        <v>29843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CBC95-E6AC-46A4-B1FB-73B3C28D845F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66</v>
      </c>
    </row>
    <row r="2" spans="1:4" ht="24.95" customHeight="1" x14ac:dyDescent="0.2">
      <c r="A2" s="7" t="s">
        <v>12</v>
      </c>
      <c r="B2" s="8" t="s">
        <v>60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10472</v>
      </c>
      <c r="C3" s="12">
        <f>GovByAssemblyDistrict47General[[#This Row],[Part of Kings County Vote Results]]</f>
        <v>10472</v>
      </c>
      <c r="D3" s="13">
        <f>SUM(C3,C7,C8,C9)</f>
        <v>10983</v>
      </c>
    </row>
    <row r="4" spans="1:4" x14ac:dyDescent="0.2">
      <c r="A4" s="2" t="s">
        <v>14</v>
      </c>
      <c r="B4" s="3">
        <v>6264</v>
      </c>
      <c r="C4" s="12">
        <f>GovByAssemblyDistrict47General[[#This Row],[Part of Kings County Vote Results]]</f>
        <v>6264</v>
      </c>
      <c r="D4" s="13">
        <f>SUM(C4,C5,C10)</f>
        <v>6747</v>
      </c>
    </row>
    <row r="5" spans="1:4" x14ac:dyDescent="0.2">
      <c r="A5" s="2" t="s">
        <v>15</v>
      </c>
      <c r="B5" s="3">
        <v>432</v>
      </c>
      <c r="C5" s="12">
        <f>GovByAssemblyDistrict47General[[#This Row],[Part of Kings County Vote Results]]</f>
        <v>432</v>
      </c>
      <c r="D5" s="14"/>
    </row>
    <row r="6" spans="1:4" x14ac:dyDescent="0.2">
      <c r="A6" s="2" t="s">
        <v>6</v>
      </c>
      <c r="B6" s="3">
        <v>365</v>
      </c>
      <c r="C6" s="12">
        <f>GovByAssemblyDistrict47General[[#This Row],[Part of Kings County Vote Results]]</f>
        <v>365</v>
      </c>
      <c r="D6" s="13">
        <f>GovByAssemblyDistrict47General[[#This Row],[Total Votes by Party]]</f>
        <v>365</v>
      </c>
    </row>
    <row r="7" spans="1:4" x14ac:dyDescent="0.2">
      <c r="A7" s="2" t="s">
        <v>7</v>
      </c>
      <c r="B7" s="3">
        <v>284</v>
      </c>
      <c r="C7" s="12">
        <f>GovByAssemblyDistrict47General[[#This Row],[Part of Kings County Vote Results]]</f>
        <v>284</v>
      </c>
      <c r="D7" s="14"/>
    </row>
    <row r="8" spans="1:4" x14ac:dyDescent="0.2">
      <c r="A8" s="2" t="s">
        <v>8</v>
      </c>
      <c r="B8" s="3">
        <v>171</v>
      </c>
      <c r="C8" s="12">
        <f>GovByAssemblyDistrict47General[[#This Row],[Part of Kings County Vote Results]]</f>
        <v>171</v>
      </c>
      <c r="D8" s="14"/>
    </row>
    <row r="9" spans="1:4" x14ac:dyDescent="0.2">
      <c r="A9" s="2" t="s">
        <v>9</v>
      </c>
      <c r="B9" s="3">
        <v>56</v>
      </c>
      <c r="C9" s="12">
        <f>GovByAssemblyDistrict47General[[#This Row],[Part of Kings County Vote Results]]</f>
        <v>56</v>
      </c>
      <c r="D9" s="14"/>
    </row>
    <row r="10" spans="1:4" x14ac:dyDescent="0.2">
      <c r="A10" s="2" t="s">
        <v>16</v>
      </c>
      <c r="B10" s="3">
        <v>51</v>
      </c>
      <c r="C10" s="12">
        <f>GovByAssemblyDistrict47General[[#This Row],[Part of Kings County Vote Results]]</f>
        <v>51</v>
      </c>
      <c r="D10" s="14"/>
    </row>
    <row r="11" spans="1:4" x14ac:dyDescent="0.2">
      <c r="A11" s="2" t="s">
        <v>10</v>
      </c>
      <c r="B11" s="3">
        <v>131</v>
      </c>
      <c r="C11" s="12">
        <f>GovByAssemblyDistrict47General[[#This Row],[Part of Kings County Vote Results]]</f>
        <v>131</v>
      </c>
      <c r="D11" s="13">
        <f>GovByAssemblyDistrict47General[[#This Row],[Total Votes by Party]]</f>
        <v>131</v>
      </c>
    </row>
    <row r="12" spans="1:4" x14ac:dyDescent="0.2">
      <c r="A12" s="4" t="s">
        <v>11</v>
      </c>
      <c r="B12" s="5">
        <v>77</v>
      </c>
      <c r="C12" s="12">
        <f>GovByAssemblyDistrict47General[[#This Row],[Part of Kings County Vote Results]]</f>
        <v>77</v>
      </c>
      <c r="D12" s="13">
        <f>GovByAssemblyDistrict47General[[#This Row],[Total Votes by Party]]</f>
        <v>77</v>
      </c>
    </row>
    <row r="13" spans="1:4" x14ac:dyDescent="0.2">
      <c r="A13" s="4" t="s">
        <v>0</v>
      </c>
      <c r="B13" s="5">
        <v>456</v>
      </c>
      <c r="C13" s="12">
        <f>GovByAssemblyDistrict47General[[#This Row],[Part of Kings County Vote Results]]</f>
        <v>456</v>
      </c>
      <c r="D13" s="14"/>
    </row>
    <row r="14" spans="1:4" x14ac:dyDescent="0.2">
      <c r="A14" s="4" t="s">
        <v>1</v>
      </c>
      <c r="B14" s="5">
        <v>0</v>
      </c>
      <c r="C14" s="12">
        <f>GovByAssemblyDistrict47General[[#This Row],[Part of Kings County Vote Results]]</f>
        <v>0</v>
      </c>
      <c r="D14" s="14"/>
    </row>
    <row r="15" spans="1:4" x14ac:dyDescent="0.2">
      <c r="A15" s="4" t="s">
        <v>2</v>
      </c>
      <c r="B15" s="5">
        <v>16</v>
      </c>
      <c r="C15" s="12">
        <f>GovByAssemblyDistrict47General[[#This Row],[Part of Kings County Vote Results]]</f>
        <v>16</v>
      </c>
      <c r="D15" s="14"/>
    </row>
    <row r="16" spans="1:4" hidden="1" x14ac:dyDescent="0.2">
      <c r="A16" s="4" t="s">
        <v>4</v>
      </c>
      <c r="B16" s="6">
        <f>SUBTOTAL(109,GovByAssemblyDistrict47General[Total Votes by Candidate])</f>
        <v>18303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765CF-F0DF-42BC-90E1-2D5922F5EB80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67</v>
      </c>
    </row>
    <row r="2" spans="1:4" ht="24.95" customHeight="1" x14ac:dyDescent="0.2">
      <c r="A2" s="7" t="s">
        <v>12</v>
      </c>
      <c r="B2" s="8" t="s">
        <v>60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6707</v>
      </c>
      <c r="C3" s="12">
        <f>GovByAssemblyDistrict48General[[#This Row],[Part of Kings County Vote Results]]</f>
        <v>6707</v>
      </c>
      <c r="D3" s="13">
        <f>SUM(C3,C7,C8,C9)</f>
        <v>7259</v>
      </c>
    </row>
    <row r="4" spans="1:4" x14ac:dyDescent="0.2">
      <c r="A4" s="2" t="s">
        <v>14</v>
      </c>
      <c r="B4" s="3">
        <v>8881</v>
      </c>
      <c r="C4" s="12">
        <f>GovByAssemblyDistrict48General[[#This Row],[Part of Kings County Vote Results]]</f>
        <v>8881</v>
      </c>
      <c r="D4" s="13">
        <f>SUM(C4,C5,C10)</f>
        <v>10037</v>
      </c>
    </row>
    <row r="5" spans="1:4" x14ac:dyDescent="0.2">
      <c r="A5" s="2" t="s">
        <v>15</v>
      </c>
      <c r="B5" s="3">
        <v>1094</v>
      </c>
      <c r="C5" s="12">
        <f>GovByAssemblyDistrict48General[[#This Row],[Part of Kings County Vote Results]]</f>
        <v>1094</v>
      </c>
      <c r="D5" s="14"/>
    </row>
    <row r="6" spans="1:4" x14ac:dyDescent="0.2">
      <c r="A6" s="2" t="s">
        <v>6</v>
      </c>
      <c r="B6" s="3">
        <v>149</v>
      </c>
      <c r="C6" s="12">
        <f>GovByAssemblyDistrict48General[[#This Row],[Part of Kings County Vote Results]]</f>
        <v>149</v>
      </c>
      <c r="D6" s="13">
        <f>GovByAssemblyDistrict48General[[#This Row],[Total Votes by Party]]</f>
        <v>149</v>
      </c>
    </row>
    <row r="7" spans="1:4" x14ac:dyDescent="0.2">
      <c r="A7" s="2" t="s">
        <v>7</v>
      </c>
      <c r="B7" s="3">
        <v>221</v>
      </c>
      <c r="C7" s="12">
        <f>GovByAssemblyDistrict48General[[#This Row],[Part of Kings County Vote Results]]</f>
        <v>221</v>
      </c>
      <c r="D7" s="14"/>
    </row>
    <row r="8" spans="1:4" x14ac:dyDescent="0.2">
      <c r="A8" s="2" t="s">
        <v>8</v>
      </c>
      <c r="B8" s="3">
        <v>305</v>
      </c>
      <c r="C8" s="12">
        <f>GovByAssemblyDistrict48General[[#This Row],[Part of Kings County Vote Results]]</f>
        <v>305</v>
      </c>
      <c r="D8" s="14"/>
    </row>
    <row r="9" spans="1:4" x14ac:dyDescent="0.2">
      <c r="A9" s="2" t="s">
        <v>9</v>
      </c>
      <c r="B9" s="3">
        <v>26</v>
      </c>
      <c r="C9" s="12">
        <f>GovByAssemblyDistrict48General[[#This Row],[Part of Kings County Vote Results]]</f>
        <v>26</v>
      </c>
      <c r="D9" s="14"/>
    </row>
    <row r="10" spans="1:4" x14ac:dyDescent="0.2">
      <c r="A10" s="2" t="s">
        <v>16</v>
      </c>
      <c r="B10" s="3">
        <v>62</v>
      </c>
      <c r="C10" s="12">
        <f>GovByAssemblyDistrict48General[[#This Row],[Part of Kings County Vote Results]]</f>
        <v>62</v>
      </c>
      <c r="D10" s="14"/>
    </row>
    <row r="11" spans="1:4" x14ac:dyDescent="0.2">
      <c r="A11" s="2" t="s">
        <v>10</v>
      </c>
      <c r="B11" s="3">
        <v>96</v>
      </c>
      <c r="C11" s="12">
        <f>GovByAssemblyDistrict48General[[#This Row],[Part of Kings County Vote Results]]</f>
        <v>96</v>
      </c>
      <c r="D11" s="13">
        <f>GovByAssemblyDistrict48General[[#This Row],[Total Votes by Party]]</f>
        <v>96</v>
      </c>
    </row>
    <row r="12" spans="1:4" x14ac:dyDescent="0.2">
      <c r="A12" s="4" t="s">
        <v>11</v>
      </c>
      <c r="B12" s="5">
        <v>35</v>
      </c>
      <c r="C12" s="12">
        <f>GovByAssemblyDistrict48General[[#This Row],[Part of Kings County Vote Results]]</f>
        <v>35</v>
      </c>
      <c r="D12" s="13">
        <f>GovByAssemblyDistrict48General[[#This Row],[Total Votes by Party]]</f>
        <v>35</v>
      </c>
    </row>
    <row r="13" spans="1:4" x14ac:dyDescent="0.2">
      <c r="A13" s="4" t="s">
        <v>0</v>
      </c>
      <c r="B13" s="5">
        <v>995</v>
      </c>
      <c r="C13" s="12">
        <f>GovByAssemblyDistrict48General[[#This Row],[Part of Kings County Vote Results]]</f>
        <v>995</v>
      </c>
      <c r="D13" s="14"/>
    </row>
    <row r="14" spans="1:4" x14ac:dyDescent="0.2">
      <c r="A14" s="4" t="s">
        <v>1</v>
      </c>
      <c r="B14" s="5">
        <v>0</v>
      </c>
      <c r="C14" s="12">
        <f>GovByAssemblyDistrict48General[[#This Row],[Part of Kings County Vote Results]]</f>
        <v>0</v>
      </c>
      <c r="D14" s="14"/>
    </row>
    <row r="15" spans="1:4" x14ac:dyDescent="0.2">
      <c r="A15" s="4" t="s">
        <v>2</v>
      </c>
      <c r="B15" s="5">
        <v>56</v>
      </c>
      <c r="C15" s="12">
        <f>GovByAssemblyDistrict48General[[#This Row],[Part of Kings County Vote Results]]</f>
        <v>56</v>
      </c>
      <c r="D15" s="14"/>
    </row>
    <row r="16" spans="1:4" hidden="1" x14ac:dyDescent="0.2">
      <c r="A16" s="4" t="s">
        <v>4</v>
      </c>
      <c r="B16" s="6">
        <f>SUBTOTAL(109,GovByAssemblyDistrict48General[Total Votes by Candidate])</f>
        <v>17576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14090-AD3B-413F-8D34-2CA7FA6E70E1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68</v>
      </c>
    </row>
    <row r="2" spans="1:4" ht="24.95" customHeight="1" x14ac:dyDescent="0.2">
      <c r="A2" s="7" t="s">
        <v>12</v>
      </c>
      <c r="B2" s="8" t="s">
        <v>60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8562</v>
      </c>
      <c r="C3" s="12">
        <f>GovByAssemblyDistrict49General[[#This Row],[Part of Kings County Vote Results]]</f>
        <v>8562</v>
      </c>
      <c r="D3" s="13">
        <f>SUM(C3,C7,C8,C9)</f>
        <v>8996</v>
      </c>
    </row>
    <row r="4" spans="1:4" x14ac:dyDescent="0.2">
      <c r="A4" s="2" t="s">
        <v>14</v>
      </c>
      <c r="B4" s="3">
        <v>4449</v>
      </c>
      <c r="C4" s="12">
        <f>GovByAssemblyDistrict49General[[#This Row],[Part of Kings County Vote Results]]</f>
        <v>4449</v>
      </c>
      <c r="D4" s="13">
        <f>SUM(C4,C5,C10)</f>
        <v>4893</v>
      </c>
    </row>
    <row r="5" spans="1:4" x14ac:dyDescent="0.2">
      <c r="A5" s="2" t="s">
        <v>15</v>
      </c>
      <c r="B5" s="3">
        <v>409</v>
      </c>
      <c r="C5" s="12">
        <f>GovByAssemblyDistrict49General[[#This Row],[Part of Kings County Vote Results]]</f>
        <v>409</v>
      </c>
      <c r="D5" s="14"/>
    </row>
    <row r="6" spans="1:4" x14ac:dyDescent="0.2">
      <c r="A6" s="2" t="s">
        <v>6</v>
      </c>
      <c r="B6" s="3">
        <v>320</v>
      </c>
      <c r="C6" s="12">
        <f>GovByAssemblyDistrict49General[[#This Row],[Part of Kings County Vote Results]]</f>
        <v>320</v>
      </c>
      <c r="D6" s="13">
        <f>GovByAssemblyDistrict49General[[#This Row],[Total Votes by Party]]</f>
        <v>320</v>
      </c>
    </row>
    <row r="7" spans="1:4" x14ac:dyDescent="0.2">
      <c r="A7" s="2" t="s">
        <v>7</v>
      </c>
      <c r="B7" s="3">
        <v>261</v>
      </c>
      <c r="C7" s="12">
        <f>GovByAssemblyDistrict49General[[#This Row],[Part of Kings County Vote Results]]</f>
        <v>261</v>
      </c>
      <c r="D7" s="14"/>
    </row>
    <row r="8" spans="1:4" x14ac:dyDescent="0.2">
      <c r="A8" s="2" t="s">
        <v>8</v>
      </c>
      <c r="B8" s="3">
        <v>125</v>
      </c>
      <c r="C8" s="12">
        <f>GovByAssemblyDistrict49General[[#This Row],[Part of Kings County Vote Results]]</f>
        <v>125</v>
      </c>
      <c r="D8" s="14"/>
    </row>
    <row r="9" spans="1:4" x14ac:dyDescent="0.2">
      <c r="A9" s="2" t="s">
        <v>9</v>
      </c>
      <c r="B9" s="3">
        <v>48</v>
      </c>
      <c r="C9" s="12">
        <f>GovByAssemblyDistrict49General[[#This Row],[Part of Kings County Vote Results]]</f>
        <v>48</v>
      </c>
      <c r="D9" s="14"/>
    </row>
    <row r="10" spans="1:4" x14ac:dyDescent="0.2">
      <c r="A10" s="2" t="s">
        <v>16</v>
      </c>
      <c r="B10" s="3">
        <v>35</v>
      </c>
      <c r="C10" s="12">
        <f>GovByAssemblyDistrict49General[[#This Row],[Part of Kings County Vote Results]]</f>
        <v>35</v>
      </c>
      <c r="D10" s="14"/>
    </row>
    <row r="11" spans="1:4" x14ac:dyDescent="0.2">
      <c r="A11" s="2" t="s">
        <v>10</v>
      </c>
      <c r="B11" s="3">
        <v>98</v>
      </c>
      <c r="C11" s="12">
        <f>GovByAssemblyDistrict49General[[#This Row],[Part of Kings County Vote Results]]</f>
        <v>98</v>
      </c>
      <c r="D11" s="13">
        <f>GovByAssemblyDistrict49General[[#This Row],[Total Votes by Party]]</f>
        <v>98</v>
      </c>
    </row>
    <row r="12" spans="1:4" x14ac:dyDescent="0.2">
      <c r="A12" s="4" t="s">
        <v>11</v>
      </c>
      <c r="B12" s="5">
        <v>66</v>
      </c>
      <c r="C12" s="12">
        <f>GovByAssemblyDistrict49General[[#This Row],[Part of Kings County Vote Results]]</f>
        <v>66</v>
      </c>
      <c r="D12" s="13">
        <f>GovByAssemblyDistrict49General[[#This Row],[Total Votes by Party]]</f>
        <v>66</v>
      </c>
    </row>
    <row r="13" spans="1:4" x14ac:dyDescent="0.2">
      <c r="A13" s="4" t="s">
        <v>0</v>
      </c>
      <c r="B13" s="5">
        <v>284</v>
      </c>
      <c r="C13" s="12">
        <f>GovByAssemblyDistrict49General[[#This Row],[Part of Kings County Vote Results]]</f>
        <v>284</v>
      </c>
      <c r="D13" s="14"/>
    </row>
    <row r="14" spans="1:4" x14ac:dyDescent="0.2">
      <c r="A14" s="4" t="s">
        <v>1</v>
      </c>
      <c r="B14" s="5">
        <v>0</v>
      </c>
      <c r="C14" s="12">
        <f>GovByAssemblyDistrict49General[[#This Row],[Part of Kings County Vote Results]]</f>
        <v>0</v>
      </c>
      <c r="D14" s="14"/>
    </row>
    <row r="15" spans="1:4" x14ac:dyDescent="0.2">
      <c r="A15" s="4" t="s">
        <v>2</v>
      </c>
      <c r="B15" s="5">
        <v>20</v>
      </c>
      <c r="C15" s="12">
        <f>GovByAssemblyDistrict49General[[#This Row],[Part of Kings County Vote Results]]</f>
        <v>20</v>
      </c>
      <c r="D15" s="14"/>
    </row>
    <row r="16" spans="1:4" hidden="1" x14ac:dyDescent="0.2">
      <c r="A16" s="4" t="s">
        <v>4</v>
      </c>
      <c r="B16" s="6">
        <f>SUBTOTAL(109,GovByAssemblyDistrict49General[Total Votes by Candidate])</f>
        <v>14373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8521A-6F8D-4CAE-BD44-9468E1E257C6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22</v>
      </c>
    </row>
    <row r="2" spans="1:4" ht="24.95" customHeight="1" x14ac:dyDescent="0.2">
      <c r="A2" s="7" t="s">
        <v>12</v>
      </c>
      <c r="B2" s="8" t="s">
        <v>13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18378</v>
      </c>
      <c r="C3" s="12">
        <f>GovByAssemblyDistrict5General[[#This Row],[Part of Suffolk County Vote Results]]</f>
        <v>18378</v>
      </c>
      <c r="D3" s="13">
        <f>SUM(C3,C7,C8,C9)</f>
        <v>19461</v>
      </c>
    </row>
    <row r="4" spans="1:4" x14ac:dyDescent="0.2">
      <c r="A4" s="2" t="s">
        <v>14</v>
      </c>
      <c r="B4" s="3">
        <v>21078</v>
      </c>
      <c r="C4" s="12">
        <f>GovByAssemblyDistrict5General[[#This Row],[Part of Suffolk County Vote Results]]</f>
        <v>21078</v>
      </c>
      <c r="D4" s="13">
        <f>SUM(C4,C5,C10)</f>
        <v>23614</v>
      </c>
    </row>
    <row r="5" spans="1:4" x14ac:dyDescent="0.2">
      <c r="A5" s="2" t="s">
        <v>15</v>
      </c>
      <c r="B5" s="3">
        <v>2407</v>
      </c>
      <c r="C5" s="12">
        <f>GovByAssemblyDistrict5General[[#This Row],[Part of Suffolk County Vote Results]]</f>
        <v>2407</v>
      </c>
      <c r="D5" s="14"/>
    </row>
    <row r="6" spans="1:4" x14ac:dyDescent="0.2">
      <c r="A6" s="2" t="s">
        <v>6</v>
      </c>
      <c r="B6" s="3">
        <v>375</v>
      </c>
      <c r="C6" s="12">
        <f>GovByAssemblyDistrict5General[[#This Row],[Part of Suffolk County Vote Results]]</f>
        <v>375</v>
      </c>
      <c r="D6" s="13">
        <f>GovByAssemblyDistrict5General[[#This Row],[Total Votes by Party]]</f>
        <v>375</v>
      </c>
    </row>
    <row r="7" spans="1:4" x14ac:dyDescent="0.2">
      <c r="A7" s="2" t="s">
        <v>7</v>
      </c>
      <c r="B7" s="3">
        <v>439</v>
      </c>
      <c r="C7" s="12">
        <f>GovByAssemblyDistrict5General[[#This Row],[Part of Suffolk County Vote Results]]</f>
        <v>439</v>
      </c>
      <c r="D7" s="14"/>
    </row>
    <row r="8" spans="1:4" x14ac:dyDescent="0.2">
      <c r="A8" s="2" t="s">
        <v>8</v>
      </c>
      <c r="B8" s="3">
        <v>414</v>
      </c>
      <c r="C8" s="12">
        <f>GovByAssemblyDistrict5General[[#This Row],[Part of Suffolk County Vote Results]]</f>
        <v>414</v>
      </c>
      <c r="D8" s="14"/>
    </row>
    <row r="9" spans="1:4" x14ac:dyDescent="0.2">
      <c r="A9" s="2" t="s">
        <v>9</v>
      </c>
      <c r="B9" s="3">
        <v>230</v>
      </c>
      <c r="C9" s="12">
        <f>GovByAssemblyDistrict5General[[#This Row],[Part of Suffolk County Vote Results]]</f>
        <v>230</v>
      </c>
      <c r="D9" s="14"/>
    </row>
    <row r="10" spans="1:4" x14ac:dyDescent="0.2">
      <c r="A10" s="2" t="s">
        <v>16</v>
      </c>
      <c r="B10" s="3">
        <v>129</v>
      </c>
      <c r="C10" s="12">
        <f>GovByAssemblyDistrict5General[[#This Row],[Part of Suffolk County Vote Results]]</f>
        <v>129</v>
      </c>
      <c r="D10" s="14"/>
    </row>
    <row r="11" spans="1:4" x14ac:dyDescent="0.2">
      <c r="A11" s="2" t="s">
        <v>10</v>
      </c>
      <c r="B11" s="3">
        <v>450</v>
      </c>
      <c r="C11" s="12">
        <f>GovByAssemblyDistrict5General[[#This Row],[Part of Suffolk County Vote Results]]</f>
        <v>450</v>
      </c>
      <c r="D11" s="13">
        <f>GovByAssemblyDistrict5General[[#This Row],[Total Votes by Party]]</f>
        <v>450</v>
      </c>
    </row>
    <row r="12" spans="1:4" x14ac:dyDescent="0.2">
      <c r="A12" s="4" t="s">
        <v>11</v>
      </c>
      <c r="B12" s="5">
        <v>222</v>
      </c>
      <c r="C12" s="12">
        <f>GovByAssemblyDistrict5General[[#This Row],[Part of Suffolk County Vote Results]]</f>
        <v>222</v>
      </c>
      <c r="D12" s="13">
        <f>GovByAssemblyDistrict5General[[#This Row],[Total Votes by Party]]</f>
        <v>222</v>
      </c>
    </row>
    <row r="13" spans="1:4" x14ac:dyDescent="0.2">
      <c r="A13" s="4" t="s">
        <v>0</v>
      </c>
      <c r="B13" s="5">
        <v>591</v>
      </c>
      <c r="C13" s="12">
        <f>GovByAssemblyDistrict5General[[#This Row],[Part of Suffolk County Vote Results]]</f>
        <v>591</v>
      </c>
      <c r="D13" s="14"/>
    </row>
    <row r="14" spans="1:4" x14ac:dyDescent="0.2">
      <c r="A14" s="4" t="s">
        <v>1</v>
      </c>
      <c r="B14" s="5">
        <v>45</v>
      </c>
      <c r="C14" s="12">
        <f>GovByAssemblyDistrict5General[[#This Row],[Part of Suffolk County Vote Results]]</f>
        <v>45</v>
      </c>
      <c r="D14" s="14"/>
    </row>
    <row r="15" spans="1:4" x14ac:dyDescent="0.2">
      <c r="A15" s="4" t="s">
        <v>2</v>
      </c>
      <c r="B15" s="5">
        <v>9</v>
      </c>
      <c r="C15" s="12">
        <f>GovByAssemblyDistrict5General[[#This Row],[Part of Suffolk County Vote Results]]</f>
        <v>9</v>
      </c>
      <c r="D15" s="14"/>
    </row>
    <row r="16" spans="1:4" hidden="1" x14ac:dyDescent="0.2">
      <c r="A16" s="4" t="s">
        <v>4</v>
      </c>
      <c r="B16" s="6">
        <f>SUBTOTAL(109,GovByAssemblyDistrict5General[Total Votes by Candidate])</f>
        <v>44122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88F49-BA09-411A-B3F8-502494CB8EC5}">
  <dimension ref="A1:D16"/>
  <sheetViews>
    <sheetView workbookViewId="0">
      <selection activeCell="C11" sqref="C11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69</v>
      </c>
    </row>
    <row r="2" spans="1:4" ht="24.95" customHeight="1" x14ac:dyDescent="0.2">
      <c r="A2" s="7" t="s">
        <v>12</v>
      </c>
      <c r="B2" s="8" t="s">
        <v>60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24538</v>
      </c>
      <c r="C3" s="12">
        <f>GovByAssemblyDistrict50General[[#This Row],[Part of Kings County Vote Results]]</f>
        <v>24538</v>
      </c>
      <c r="D3" s="13">
        <f>SUM(C3,C7,C8,C9)</f>
        <v>27276</v>
      </c>
    </row>
    <row r="4" spans="1:4" x14ac:dyDescent="0.2">
      <c r="A4" s="2" t="s">
        <v>14</v>
      </c>
      <c r="B4" s="3">
        <v>2491</v>
      </c>
      <c r="C4" s="12">
        <f>GovByAssemblyDistrict50General[[#This Row],[Part of Kings County Vote Results]]</f>
        <v>2491</v>
      </c>
      <c r="D4" s="13">
        <f>SUM(C4,C5,C10)</f>
        <v>2786</v>
      </c>
    </row>
    <row r="5" spans="1:4" x14ac:dyDescent="0.2">
      <c r="A5" s="2" t="s">
        <v>15</v>
      </c>
      <c r="B5" s="3">
        <v>267</v>
      </c>
      <c r="C5" s="12">
        <f>GovByAssemblyDistrict50General[[#This Row],[Part of Kings County Vote Results]]</f>
        <v>267</v>
      </c>
      <c r="D5" s="14"/>
    </row>
    <row r="6" spans="1:4" x14ac:dyDescent="0.2">
      <c r="A6" s="2" t="s">
        <v>6</v>
      </c>
      <c r="B6" s="3">
        <v>1502</v>
      </c>
      <c r="C6" s="12">
        <f>GovByAssemblyDistrict50General[[#This Row],[Part of Kings County Vote Results]]</f>
        <v>1502</v>
      </c>
      <c r="D6" s="13">
        <f>GovByAssemblyDistrict50General[[#This Row],[Total Votes by Party]]</f>
        <v>1502</v>
      </c>
    </row>
    <row r="7" spans="1:4" x14ac:dyDescent="0.2">
      <c r="A7" s="2" t="s">
        <v>7</v>
      </c>
      <c r="B7" s="3">
        <v>2205</v>
      </c>
      <c r="C7" s="12">
        <f>GovByAssemblyDistrict50General[[#This Row],[Part of Kings County Vote Results]]</f>
        <v>2205</v>
      </c>
      <c r="D7" s="14"/>
    </row>
    <row r="8" spans="1:4" x14ac:dyDescent="0.2">
      <c r="A8" s="2" t="s">
        <v>8</v>
      </c>
      <c r="B8" s="3">
        <v>361</v>
      </c>
      <c r="C8" s="12">
        <f>GovByAssemblyDistrict50General[[#This Row],[Part of Kings County Vote Results]]</f>
        <v>361</v>
      </c>
      <c r="D8" s="14"/>
    </row>
    <row r="9" spans="1:4" x14ac:dyDescent="0.2">
      <c r="A9" s="2" t="s">
        <v>9</v>
      </c>
      <c r="B9" s="3">
        <v>172</v>
      </c>
      <c r="C9" s="12">
        <f>GovByAssemblyDistrict50General[[#This Row],[Part of Kings County Vote Results]]</f>
        <v>172</v>
      </c>
      <c r="D9" s="14"/>
    </row>
    <row r="10" spans="1:4" x14ac:dyDescent="0.2">
      <c r="A10" s="2" t="s">
        <v>16</v>
      </c>
      <c r="B10" s="3">
        <v>28</v>
      </c>
      <c r="C10" s="12">
        <f>GovByAssemblyDistrict50General[[#This Row],[Part of Kings County Vote Results]]</f>
        <v>28</v>
      </c>
      <c r="D10" s="14"/>
    </row>
    <row r="11" spans="1:4" x14ac:dyDescent="0.2">
      <c r="A11" s="2" t="s">
        <v>10</v>
      </c>
      <c r="B11" s="3">
        <v>290</v>
      </c>
      <c r="C11" s="12">
        <f>GovByAssemblyDistrict50General[[#This Row],[Part of Kings County Vote Results]]</f>
        <v>290</v>
      </c>
      <c r="D11" s="13">
        <f>GovByAssemblyDistrict50General[[#This Row],[Total Votes by Party]]</f>
        <v>290</v>
      </c>
    </row>
    <row r="12" spans="1:4" x14ac:dyDescent="0.2">
      <c r="A12" s="4" t="s">
        <v>11</v>
      </c>
      <c r="B12" s="5">
        <v>329</v>
      </c>
      <c r="C12" s="12">
        <f>GovByAssemblyDistrict50General[[#This Row],[Part of Kings County Vote Results]]</f>
        <v>329</v>
      </c>
      <c r="D12" s="13">
        <f>GovByAssemblyDistrict50General[[#This Row],[Total Votes by Party]]</f>
        <v>329</v>
      </c>
    </row>
    <row r="13" spans="1:4" x14ac:dyDescent="0.2">
      <c r="A13" s="4" t="s">
        <v>0</v>
      </c>
      <c r="B13" s="5">
        <v>397</v>
      </c>
      <c r="C13" s="12">
        <f>GovByAssemblyDistrict50General[[#This Row],[Part of Kings County Vote Results]]</f>
        <v>397</v>
      </c>
      <c r="D13" s="14"/>
    </row>
    <row r="14" spans="1:4" x14ac:dyDescent="0.2">
      <c r="A14" s="4" t="s">
        <v>1</v>
      </c>
      <c r="B14" s="5">
        <v>0</v>
      </c>
      <c r="C14" s="12">
        <f>GovByAssemblyDistrict50General[[#This Row],[Part of Kings County Vote Results]]</f>
        <v>0</v>
      </c>
      <c r="D14" s="14"/>
    </row>
    <row r="15" spans="1:4" x14ac:dyDescent="0.2">
      <c r="A15" s="4" t="s">
        <v>2</v>
      </c>
      <c r="B15" s="5">
        <v>178</v>
      </c>
      <c r="C15" s="12">
        <f>GovByAssemblyDistrict50General[[#This Row],[Part of Kings County Vote Results]]</f>
        <v>178</v>
      </c>
      <c r="D15" s="14"/>
    </row>
    <row r="16" spans="1:4" hidden="1" x14ac:dyDescent="0.2">
      <c r="A16" s="4" t="s">
        <v>4</v>
      </c>
      <c r="B16" s="6">
        <f>SUBTOTAL(109,GovByAssemblyDistrict50General[Total Votes by Candidate])</f>
        <v>32183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33EA3-4707-4995-90A2-757701D4812D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70</v>
      </c>
    </row>
    <row r="2" spans="1:4" ht="24.95" customHeight="1" x14ac:dyDescent="0.2">
      <c r="A2" s="7" t="s">
        <v>12</v>
      </c>
      <c r="B2" s="8" t="s">
        <v>60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17812</v>
      </c>
      <c r="C3" s="12">
        <f>GovByAssemblyDistrict51General[[#This Row],[Part of Kings County Vote Results]]</f>
        <v>17812</v>
      </c>
      <c r="D3" s="13">
        <f>SUM(C3,C7,C8,C9)</f>
        <v>19686</v>
      </c>
    </row>
    <row r="4" spans="1:4" x14ac:dyDescent="0.2">
      <c r="A4" s="2" t="s">
        <v>14</v>
      </c>
      <c r="B4" s="3">
        <v>2354</v>
      </c>
      <c r="C4" s="12">
        <f>GovByAssemblyDistrict51General[[#This Row],[Part of Kings County Vote Results]]</f>
        <v>2354</v>
      </c>
      <c r="D4" s="13">
        <f>SUM(C4,C5,C10)</f>
        <v>2620</v>
      </c>
    </row>
    <row r="5" spans="1:4" x14ac:dyDescent="0.2">
      <c r="A5" s="2" t="s">
        <v>15</v>
      </c>
      <c r="B5" s="3">
        <v>235</v>
      </c>
      <c r="C5" s="12">
        <f>GovByAssemblyDistrict51General[[#This Row],[Part of Kings County Vote Results]]</f>
        <v>235</v>
      </c>
      <c r="D5" s="14"/>
    </row>
    <row r="6" spans="1:4" x14ac:dyDescent="0.2">
      <c r="A6" s="2" t="s">
        <v>6</v>
      </c>
      <c r="B6" s="3">
        <v>898</v>
      </c>
      <c r="C6" s="12">
        <f>GovByAssemblyDistrict51General[[#This Row],[Part of Kings County Vote Results]]</f>
        <v>898</v>
      </c>
      <c r="D6" s="13">
        <f>GovByAssemblyDistrict51General[[#This Row],[Total Votes by Party]]</f>
        <v>898</v>
      </c>
    </row>
    <row r="7" spans="1:4" x14ac:dyDescent="0.2">
      <c r="A7" s="2" t="s">
        <v>7</v>
      </c>
      <c r="B7" s="3">
        <v>1524</v>
      </c>
      <c r="C7" s="12">
        <f>GovByAssemblyDistrict51General[[#This Row],[Part of Kings County Vote Results]]</f>
        <v>1524</v>
      </c>
      <c r="D7" s="14"/>
    </row>
    <row r="8" spans="1:4" x14ac:dyDescent="0.2">
      <c r="A8" s="2" t="s">
        <v>8</v>
      </c>
      <c r="B8" s="3">
        <v>232</v>
      </c>
      <c r="C8" s="12">
        <f>GovByAssemblyDistrict51General[[#This Row],[Part of Kings County Vote Results]]</f>
        <v>232</v>
      </c>
      <c r="D8" s="14"/>
    </row>
    <row r="9" spans="1:4" x14ac:dyDescent="0.2">
      <c r="A9" s="2" t="s">
        <v>9</v>
      </c>
      <c r="B9" s="3">
        <v>118</v>
      </c>
      <c r="C9" s="12">
        <f>GovByAssemblyDistrict51General[[#This Row],[Part of Kings County Vote Results]]</f>
        <v>118</v>
      </c>
      <c r="D9" s="14"/>
    </row>
    <row r="10" spans="1:4" x14ac:dyDescent="0.2">
      <c r="A10" s="2" t="s">
        <v>16</v>
      </c>
      <c r="B10" s="3">
        <v>31</v>
      </c>
      <c r="C10" s="12">
        <f>GovByAssemblyDistrict51General[[#This Row],[Part of Kings County Vote Results]]</f>
        <v>31</v>
      </c>
      <c r="D10" s="14"/>
    </row>
    <row r="11" spans="1:4" x14ac:dyDescent="0.2">
      <c r="A11" s="2" t="s">
        <v>10</v>
      </c>
      <c r="B11" s="3">
        <v>156</v>
      </c>
      <c r="C11" s="12">
        <f>GovByAssemblyDistrict51General[[#This Row],[Part of Kings County Vote Results]]</f>
        <v>156</v>
      </c>
      <c r="D11" s="13">
        <f>GovByAssemblyDistrict51General[[#This Row],[Total Votes by Party]]</f>
        <v>156</v>
      </c>
    </row>
    <row r="12" spans="1:4" x14ac:dyDescent="0.2">
      <c r="A12" s="4" t="s">
        <v>11</v>
      </c>
      <c r="B12" s="5">
        <v>179</v>
      </c>
      <c r="C12" s="12">
        <f>GovByAssemblyDistrict51General[[#This Row],[Part of Kings County Vote Results]]</f>
        <v>179</v>
      </c>
      <c r="D12" s="13">
        <f>GovByAssemblyDistrict51General[[#This Row],[Total Votes by Party]]</f>
        <v>179</v>
      </c>
    </row>
    <row r="13" spans="1:4" x14ac:dyDescent="0.2">
      <c r="A13" s="4" t="s">
        <v>0</v>
      </c>
      <c r="B13" s="5">
        <v>389</v>
      </c>
      <c r="C13" s="12">
        <f>GovByAssemblyDistrict51General[[#This Row],[Part of Kings County Vote Results]]</f>
        <v>389</v>
      </c>
      <c r="D13" s="14"/>
    </row>
    <row r="14" spans="1:4" x14ac:dyDescent="0.2">
      <c r="A14" s="4" t="s">
        <v>1</v>
      </c>
      <c r="B14" s="5">
        <v>0</v>
      </c>
      <c r="C14" s="12">
        <f>GovByAssemblyDistrict51General[[#This Row],[Part of Kings County Vote Results]]</f>
        <v>0</v>
      </c>
      <c r="D14" s="14"/>
    </row>
    <row r="15" spans="1:4" x14ac:dyDescent="0.2">
      <c r="A15" s="4" t="s">
        <v>2</v>
      </c>
      <c r="B15" s="5">
        <v>98</v>
      </c>
      <c r="C15" s="12">
        <f>GovByAssemblyDistrict51General[[#This Row],[Part of Kings County Vote Results]]</f>
        <v>98</v>
      </c>
      <c r="D15" s="14"/>
    </row>
    <row r="16" spans="1:4" hidden="1" x14ac:dyDescent="0.2">
      <c r="A16" s="4" t="s">
        <v>4</v>
      </c>
      <c r="B16" s="6">
        <f>SUBTOTAL(109,GovByAssemblyDistrict51General[Total Votes by Candidate])</f>
        <v>23539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1679E-CA69-4664-B53E-8E84C27532E3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71</v>
      </c>
    </row>
    <row r="2" spans="1:4" ht="24.95" customHeight="1" x14ac:dyDescent="0.2">
      <c r="A2" s="7" t="s">
        <v>12</v>
      </c>
      <c r="B2" s="8" t="s">
        <v>60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46463</v>
      </c>
      <c r="C3" s="12">
        <f>GovByAssemblyDistrict52General[[#This Row],[Part of Kings County Vote Results]]</f>
        <v>46463</v>
      </c>
      <c r="D3" s="13">
        <f>SUM(C3,C7,C8,C9)</f>
        <v>53216</v>
      </c>
    </row>
    <row r="4" spans="1:4" x14ac:dyDescent="0.2">
      <c r="A4" s="2" t="s">
        <v>14</v>
      </c>
      <c r="B4" s="3">
        <v>3007</v>
      </c>
      <c r="C4" s="12">
        <f>GovByAssemblyDistrict52General[[#This Row],[Part of Kings County Vote Results]]</f>
        <v>3007</v>
      </c>
      <c r="D4" s="13">
        <f>SUM(C4,C5,C10)</f>
        <v>3433</v>
      </c>
    </row>
    <row r="5" spans="1:4" x14ac:dyDescent="0.2">
      <c r="A5" s="2" t="s">
        <v>15</v>
      </c>
      <c r="B5" s="3">
        <v>361</v>
      </c>
      <c r="C5" s="12">
        <f>GovByAssemblyDistrict52General[[#This Row],[Part of Kings County Vote Results]]</f>
        <v>361</v>
      </c>
      <c r="D5" s="14"/>
    </row>
    <row r="6" spans="1:4" x14ac:dyDescent="0.2">
      <c r="A6" s="2" t="s">
        <v>6</v>
      </c>
      <c r="B6" s="3">
        <v>2515</v>
      </c>
      <c r="C6" s="12">
        <f>GovByAssemblyDistrict52General[[#This Row],[Part of Kings County Vote Results]]</f>
        <v>2515</v>
      </c>
      <c r="D6" s="13">
        <f>GovByAssemblyDistrict52General[[#This Row],[Total Votes by Party]]</f>
        <v>2515</v>
      </c>
    </row>
    <row r="7" spans="1:4" x14ac:dyDescent="0.2">
      <c r="A7" s="2" t="s">
        <v>7</v>
      </c>
      <c r="B7" s="3">
        <v>5867</v>
      </c>
      <c r="C7" s="12">
        <f>GovByAssemblyDistrict52General[[#This Row],[Part of Kings County Vote Results]]</f>
        <v>5867</v>
      </c>
      <c r="D7" s="14"/>
    </row>
    <row r="8" spans="1:4" x14ac:dyDescent="0.2">
      <c r="A8" s="2" t="s">
        <v>8</v>
      </c>
      <c r="B8" s="3">
        <v>571</v>
      </c>
      <c r="C8" s="12">
        <f>GovByAssemblyDistrict52General[[#This Row],[Part of Kings County Vote Results]]</f>
        <v>571</v>
      </c>
      <c r="D8" s="14"/>
    </row>
    <row r="9" spans="1:4" x14ac:dyDescent="0.2">
      <c r="A9" s="2" t="s">
        <v>9</v>
      </c>
      <c r="B9" s="3">
        <v>315</v>
      </c>
      <c r="C9" s="12">
        <f>GovByAssemblyDistrict52General[[#This Row],[Part of Kings County Vote Results]]</f>
        <v>315</v>
      </c>
      <c r="D9" s="14"/>
    </row>
    <row r="10" spans="1:4" x14ac:dyDescent="0.2">
      <c r="A10" s="2" t="s">
        <v>16</v>
      </c>
      <c r="B10" s="3">
        <v>65</v>
      </c>
      <c r="C10" s="12">
        <f>GovByAssemblyDistrict52General[[#This Row],[Part of Kings County Vote Results]]</f>
        <v>65</v>
      </c>
      <c r="D10" s="14"/>
    </row>
    <row r="11" spans="1:4" x14ac:dyDescent="0.2">
      <c r="A11" s="2" t="s">
        <v>10</v>
      </c>
      <c r="B11" s="3">
        <v>425</v>
      </c>
      <c r="C11" s="12">
        <f>GovByAssemblyDistrict52General[[#This Row],[Part of Kings County Vote Results]]</f>
        <v>425</v>
      </c>
      <c r="D11" s="13">
        <f>GovByAssemblyDistrict52General[[#This Row],[Total Votes by Party]]</f>
        <v>425</v>
      </c>
    </row>
    <row r="12" spans="1:4" x14ac:dyDescent="0.2">
      <c r="A12" s="4" t="s">
        <v>11</v>
      </c>
      <c r="B12" s="5">
        <v>738</v>
      </c>
      <c r="C12" s="12">
        <f>GovByAssemblyDistrict52General[[#This Row],[Part of Kings County Vote Results]]</f>
        <v>738</v>
      </c>
      <c r="D12" s="13">
        <f>GovByAssemblyDistrict52General[[#This Row],[Total Votes by Party]]</f>
        <v>738</v>
      </c>
    </row>
    <row r="13" spans="1:4" x14ac:dyDescent="0.2">
      <c r="A13" s="4" t="s">
        <v>0</v>
      </c>
      <c r="B13" s="5">
        <v>802</v>
      </c>
      <c r="C13" s="12">
        <f>GovByAssemblyDistrict52General[[#This Row],[Part of Kings County Vote Results]]</f>
        <v>802</v>
      </c>
      <c r="D13" s="14"/>
    </row>
    <row r="14" spans="1:4" x14ac:dyDescent="0.2">
      <c r="A14" s="4" t="s">
        <v>1</v>
      </c>
      <c r="B14" s="5">
        <v>0</v>
      </c>
      <c r="C14" s="12">
        <f>GovByAssemblyDistrict52General[[#This Row],[Part of Kings County Vote Results]]</f>
        <v>0</v>
      </c>
      <c r="D14" s="14"/>
    </row>
    <row r="15" spans="1:4" x14ac:dyDescent="0.2">
      <c r="A15" s="4" t="s">
        <v>2</v>
      </c>
      <c r="B15" s="5">
        <v>349</v>
      </c>
      <c r="C15" s="12">
        <f>GovByAssemblyDistrict52General[[#This Row],[Part of Kings County Vote Results]]</f>
        <v>349</v>
      </c>
      <c r="D15" s="14"/>
    </row>
    <row r="16" spans="1:4" hidden="1" x14ac:dyDescent="0.2">
      <c r="A16" s="4" t="s">
        <v>4</v>
      </c>
      <c r="B16" s="6">
        <f>SUBTOTAL(109,GovByAssemblyDistrict52General[Total Votes by Candidate])</f>
        <v>60327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FB5AE-28F9-45EE-A359-936BB0041A3C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72</v>
      </c>
    </row>
    <row r="2" spans="1:4" ht="24.95" customHeight="1" x14ac:dyDescent="0.2">
      <c r="A2" s="7" t="s">
        <v>12</v>
      </c>
      <c r="B2" s="8" t="s">
        <v>60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26220</v>
      </c>
      <c r="C3" s="12">
        <f>GovByAssemblyDistrict53General[[#This Row],[Part of Kings County Vote Results]]</f>
        <v>26220</v>
      </c>
      <c r="D3" s="13">
        <f>SUM(C3,C7,C8,C9)</f>
        <v>28391</v>
      </c>
    </row>
    <row r="4" spans="1:4" x14ac:dyDescent="0.2">
      <c r="A4" s="2" t="s">
        <v>14</v>
      </c>
      <c r="B4" s="3">
        <v>1231</v>
      </c>
      <c r="C4" s="12">
        <f>GovByAssemblyDistrict53General[[#This Row],[Part of Kings County Vote Results]]</f>
        <v>1231</v>
      </c>
      <c r="D4" s="13">
        <f>SUM(C4,C5,C10)</f>
        <v>1384</v>
      </c>
    </row>
    <row r="5" spans="1:4" x14ac:dyDescent="0.2">
      <c r="A5" s="2" t="s">
        <v>15</v>
      </c>
      <c r="B5" s="3">
        <v>115</v>
      </c>
      <c r="C5" s="12">
        <f>GovByAssemblyDistrict53General[[#This Row],[Part of Kings County Vote Results]]</f>
        <v>115</v>
      </c>
      <c r="D5" s="14"/>
    </row>
    <row r="6" spans="1:4" x14ac:dyDescent="0.2">
      <c r="A6" s="2" t="s">
        <v>6</v>
      </c>
      <c r="B6" s="3">
        <v>1504</v>
      </c>
      <c r="C6" s="12">
        <f>GovByAssemblyDistrict53General[[#This Row],[Part of Kings County Vote Results]]</f>
        <v>1504</v>
      </c>
      <c r="D6" s="13">
        <f>GovByAssemblyDistrict53General[[#This Row],[Total Votes by Party]]</f>
        <v>1504</v>
      </c>
    </row>
    <row r="7" spans="1:4" x14ac:dyDescent="0.2">
      <c r="A7" s="2" t="s">
        <v>7</v>
      </c>
      <c r="B7" s="3">
        <v>1746</v>
      </c>
      <c r="C7" s="12">
        <f>GovByAssemblyDistrict53General[[#This Row],[Part of Kings County Vote Results]]</f>
        <v>1746</v>
      </c>
      <c r="D7" s="14"/>
    </row>
    <row r="8" spans="1:4" x14ac:dyDescent="0.2">
      <c r="A8" s="2" t="s">
        <v>8</v>
      </c>
      <c r="B8" s="3">
        <v>235</v>
      </c>
      <c r="C8" s="12">
        <f>GovByAssemblyDistrict53General[[#This Row],[Part of Kings County Vote Results]]</f>
        <v>235</v>
      </c>
      <c r="D8" s="14"/>
    </row>
    <row r="9" spans="1:4" x14ac:dyDescent="0.2">
      <c r="A9" s="2" t="s">
        <v>9</v>
      </c>
      <c r="B9" s="3">
        <v>190</v>
      </c>
      <c r="C9" s="12">
        <f>GovByAssemblyDistrict53General[[#This Row],[Part of Kings County Vote Results]]</f>
        <v>190</v>
      </c>
      <c r="D9" s="14"/>
    </row>
    <row r="10" spans="1:4" x14ac:dyDescent="0.2">
      <c r="A10" s="2" t="s">
        <v>16</v>
      </c>
      <c r="B10" s="3">
        <v>38</v>
      </c>
      <c r="C10" s="12">
        <f>GovByAssemblyDistrict53General[[#This Row],[Part of Kings County Vote Results]]</f>
        <v>38</v>
      </c>
      <c r="D10" s="14"/>
    </row>
    <row r="11" spans="1:4" x14ac:dyDescent="0.2">
      <c r="A11" s="2" t="s">
        <v>10</v>
      </c>
      <c r="B11" s="3">
        <v>260</v>
      </c>
      <c r="C11" s="12">
        <f>GovByAssemblyDistrict53General[[#This Row],[Part of Kings County Vote Results]]</f>
        <v>260</v>
      </c>
      <c r="D11" s="13">
        <f>GovByAssemblyDistrict53General[[#This Row],[Total Votes by Party]]</f>
        <v>260</v>
      </c>
    </row>
    <row r="12" spans="1:4" x14ac:dyDescent="0.2">
      <c r="A12" s="4" t="s">
        <v>11</v>
      </c>
      <c r="B12" s="5">
        <v>245</v>
      </c>
      <c r="C12" s="12">
        <f>GovByAssemblyDistrict53General[[#This Row],[Part of Kings County Vote Results]]</f>
        <v>245</v>
      </c>
      <c r="D12" s="13">
        <f>GovByAssemblyDistrict53General[[#This Row],[Total Votes by Party]]</f>
        <v>245</v>
      </c>
    </row>
    <row r="13" spans="1:4" x14ac:dyDescent="0.2">
      <c r="A13" s="4" t="s">
        <v>0</v>
      </c>
      <c r="B13" s="5">
        <v>429</v>
      </c>
      <c r="C13" s="12">
        <f>GovByAssemblyDistrict53General[[#This Row],[Part of Kings County Vote Results]]</f>
        <v>429</v>
      </c>
      <c r="D13" s="14"/>
    </row>
    <row r="14" spans="1:4" x14ac:dyDescent="0.2">
      <c r="A14" s="4" t="s">
        <v>1</v>
      </c>
      <c r="B14" s="5">
        <v>0</v>
      </c>
      <c r="C14" s="12">
        <f>GovByAssemblyDistrict53General[[#This Row],[Part of Kings County Vote Results]]</f>
        <v>0</v>
      </c>
      <c r="D14" s="14"/>
    </row>
    <row r="15" spans="1:4" x14ac:dyDescent="0.2">
      <c r="A15" s="4" t="s">
        <v>2</v>
      </c>
      <c r="B15" s="5">
        <v>145</v>
      </c>
      <c r="C15" s="12">
        <f>GovByAssemblyDistrict53General[[#This Row],[Part of Kings County Vote Results]]</f>
        <v>145</v>
      </c>
      <c r="D15" s="14"/>
    </row>
    <row r="16" spans="1:4" hidden="1" x14ac:dyDescent="0.2">
      <c r="A16" s="4" t="s">
        <v>4</v>
      </c>
      <c r="B16" s="6">
        <f>SUBTOTAL(109,GovByAssemblyDistrict53General[Total Votes by Candidate])</f>
        <v>31784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86E26-0C98-4BA1-A597-D9BD5B77BA09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73</v>
      </c>
    </row>
    <row r="2" spans="1:4" ht="24.95" customHeight="1" x14ac:dyDescent="0.2">
      <c r="A2" s="7" t="s">
        <v>12</v>
      </c>
      <c r="B2" s="8" t="s">
        <v>60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21549</v>
      </c>
      <c r="C3" s="12">
        <f>GovByAssemblyDistrict54General[[#This Row],[Part of Kings County Vote Results]]</f>
        <v>21549</v>
      </c>
      <c r="D3" s="13">
        <f>SUM(C3,C7,C8,C9)</f>
        <v>22531</v>
      </c>
    </row>
    <row r="4" spans="1:4" x14ac:dyDescent="0.2">
      <c r="A4" s="2" t="s">
        <v>14</v>
      </c>
      <c r="B4" s="3">
        <v>832</v>
      </c>
      <c r="C4" s="12">
        <f>GovByAssemblyDistrict54General[[#This Row],[Part of Kings County Vote Results]]</f>
        <v>832</v>
      </c>
      <c r="D4" s="13">
        <f>SUM(C4,C5,C10)</f>
        <v>945</v>
      </c>
    </row>
    <row r="5" spans="1:4" x14ac:dyDescent="0.2">
      <c r="A5" s="2" t="s">
        <v>15</v>
      </c>
      <c r="B5" s="3">
        <v>87</v>
      </c>
      <c r="C5" s="12">
        <f>GovByAssemblyDistrict54General[[#This Row],[Part of Kings County Vote Results]]</f>
        <v>87</v>
      </c>
      <c r="D5" s="14"/>
    </row>
    <row r="6" spans="1:4" x14ac:dyDescent="0.2">
      <c r="A6" s="2" t="s">
        <v>6</v>
      </c>
      <c r="B6" s="3">
        <v>758</v>
      </c>
      <c r="C6" s="12">
        <f>GovByAssemblyDistrict54General[[#This Row],[Part of Kings County Vote Results]]</f>
        <v>758</v>
      </c>
      <c r="D6" s="13">
        <f>GovByAssemblyDistrict54General[[#This Row],[Total Votes by Party]]</f>
        <v>758</v>
      </c>
    </row>
    <row r="7" spans="1:4" x14ac:dyDescent="0.2">
      <c r="A7" s="2" t="s">
        <v>7</v>
      </c>
      <c r="B7" s="3">
        <v>734</v>
      </c>
      <c r="C7" s="12">
        <f>GovByAssemblyDistrict54General[[#This Row],[Part of Kings County Vote Results]]</f>
        <v>734</v>
      </c>
      <c r="D7" s="14"/>
    </row>
    <row r="8" spans="1:4" x14ac:dyDescent="0.2">
      <c r="A8" s="2" t="s">
        <v>8</v>
      </c>
      <c r="B8" s="3">
        <v>167</v>
      </c>
      <c r="C8" s="12">
        <f>GovByAssemblyDistrict54General[[#This Row],[Part of Kings County Vote Results]]</f>
        <v>167</v>
      </c>
      <c r="D8" s="14"/>
    </row>
    <row r="9" spans="1:4" x14ac:dyDescent="0.2">
      <c r="A9" s="2" t="s">
        <v>9</v>
      </c>
      <c r="B9" s="3">
        <v>81</v>
      </c>
      <c r="C9" s="12">
        <f>GovByAssemblyDistrict54General[[#This Row],[Part of Kings County Vote Results]]</f>
        <v>81</v>
      </c>
      <c r="D9" s="14"/>
    </row>
    <row r="10" spans="1:4" x14ac:dyDescent="0.2">
      <c r="A10" s="2" t="s">
        <v>16</v>
      </c>
      <c r="B10" s="3">
        <v>26</v>
      </c>
      <c r="C10" s="12">
        <f>GovByAssemblyDistrict54General[[#This Row],[Part of Kings County Vote Results]]</f>
        <v>26</v>
      </c>
      <c r="D10" s="14"/>
    </row>
    <row r="11" spans="1:4" x14ac:dyDescent="0.2">
      <c r="A11" s="2" t="s">
        <v>10</v>
      </c>
      <c r="B11" s="3">
        <v>127</v>
      </c>
      <c r="C11" s="12">
        <f>GovByAssemblyDistrict54General[[#This Row],[Part of Kings County Vote Results]]</f>
        <v>127</v>
      </c>
      <c r="D11" s="13">
        <f>GovByAssemblyDistrict54General[[#This Row],[Total Votes by Party]]</f>
        <v>127</v>
      </c>
    </row>
    <row r="12" spans="1:4" x14ac:dyDescent="0.2">
      <c r="A12" s="4" t="s">
        <v>11</v>
      </c>
      <c r="B12" s="5">
        <v>122</v>
      </c>
      <c r="C12" s="12">
        <f>GovByAssemblyDistrict54General[[#This Row],[Part of Kings County Vote Results]]</f>
        <v>122</v>
      </c>
      <c r="D12" s="13">
        <f>GovByAssemblyDistrict54General[[#This Row],[Total Votes by Party]]</f>
        <v>122</v>
      </c>
    </row>
    <row r="13" spans="1:4" x14ac:dyDescent="0.2">
      <c r="A13" s="4" t="s">
        <v>0</v>
      </c>
      <c r="B13" s="5">
        <v>277</v>
      </c>
      <c r="C13" s="12">
        <f>GovByAssemblyDistrict54General[[#This Row],[Part of Kings County Vote Results]]</f>
        <v>277</v>
      </c>
      <c r="D13" s="14"/>
    </row>
    <row r="14" spans="1:4" x14ac:dyDescent="0.2">
      <c r="A14" s="4" t="s">
        <v>1</v>
      </c>
      <c r="B14" s="5">
        <v>0</v>
      </c>
      <c r="C14" s="12">
        <f>GovByAssemblyDistrict54General[[#This Row],[Part of Kings County Vote Results]]</f>
        <v>0</v>
      </c>
      <c r="D14" s="14"/>
    </row>
    <row r="15" spans="1:4" x14ac:dyDescent="0.2">
      <c r="A15" s="4" t="s">
        <v>2</v>
      </c>
      <c r="B15" s="5">
        <v>61</v>
      </c>
      <c r="C15" s="12">
        <f>GovByAssemblyDistrict54General[[#This Row],[Part of Kings County Vote Results]]</f>
        <v>61</v>
      </c>
      <c r="D15" s="14"/>
    </row>
    <row r="16" spans="1:4" hidden="1" x14ac:dyDescent="0.2">
      <c r="A16" s="4" t="s">
        <v>4</v>
      </c>
      <c r="B16" s="6">
        <f>SUBTOTAL(109,GovByAssemblyDistrict54General[Total Votes by Candidate])</f>
        <v>24483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01749-9E06-4998-B96F-EE1698CE4B8E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74</v>
      </c>
    </row>
    <row r="2" spans="1:4" ht="24.95" customHeight="1" x14ac:dyDescent="0.2">
      <c r="A2" s="7" t="s">
        <v>12</v>
      </c>
      <c r="B2" s="8" t="s">
        <v>60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27189</v>
      </c>
      <c r="C3" s="12">
        <f>GovByAssemblyDistrict55General[[#This Row],[Part of Kings County Vote Results]]</f>
        <v>27189</v>
      </c>
      <c r="D3" s="13">
        <f>SUM(C3,C7,C8,C9)</f>
        <v>27984</v>
      </c>
    </row>
    <row r="4" spans="1:4" x14ac:dyDescent="0.2">
      <c r="A4" s="2" t="s">
        <v>14</v>
      </c>
      <c r="B4" s="3">
        <v>454</v>
      </c>
      <c r="C4" s="12">
        <f>GovByAssemblyDistrict55General[[#This Row],[Part of Kings County Vote Results]]</f>
        <v>454</v>
      </c>
      <c r="D4" s="13">
        <f>SUM(C4,C5,C10)</f>
        <v>529</v>
      </c>
    </row>
    <row r="5" spans="1:4" x14ac:dyDescent="0.2">
      <c r="A5" s="2" t="s">
        <v>15</v>
      </c>
      <c r="B5" s="3">
        <v>58</v>
      </c>
      <c r="C5" s="12">
        <f>GovByAssemblyDistrict55General[[#This Row],[Part of Kings County Vote Results]]</f>
        <v>58</v>
      </c>
      <c r="D5" s="14"/>
    </row>
    <row r="6" spans="1:4" x14ac:dyDescent="0.2">
      <c r="A6" s="2" t="s">
        <v>6</v>
      </c>
      <c r="B6" s="3">
        <v>375</v>
      </c>
      <c r="C6" s="12">
        <f>GovByAssemblyDistrict55General[[#This Row],[Part of Kings County Vote Results]]</f>
        <v>375</v>
      </c>
      <c r="D6" s="13">
        <f>GovByAssemblyDistrict55General[[#This Row],[Total Votes by Party]]</f>
        <v>375</v>
      </c>
    </row>
    <row r="7" spans="1:4" x14ac:dyDescent="0.2">
      <c r="A7" s="2" t="s">
        <v>7</v>
      </c>
      <c r="B7" s="3">
        <v>538</v>
      </c>
      <c r="C7" s="12">
        <f>GovByAssemblyDistrict55General[[#This Row],[Part of Kings County Vote Results]]</f>
        <v>538</v>
      </c>
      <c r="D7" s="14"/>
    </row>
    <row r="8" spans="1:4" x14ac:dyDescent="0.2">
      <c r="A8" s="2" t="s">
        <v>8</v>
      </c>
      <c r="B8" s="3">
        <v>186</v>
      </c>
      <c r="C8" s="12">
        <f>GovByAssemblyDistrict55General[[#This Row],[Part of Kings County Vote Results]]</f>
        <v>186</v>
      </c>
      <c r="D8" s="14"/>
    </row>
    <row r="9" spans="1:4" x14ac:dyDescent="0.2">
      <c r="A9" s="2" t="s">
        <v>9</v>
      </c>
      <c r="B9" s="3">
        <v>71</v>
      </c>
      <c r="C9" s="12">
        <f>GovByAssemblyDistrict55General[[#This Row],[Part of Kings County Vote Results]]</f>
        <v>71</v>
      </c>
      <c r="D9" s="14"/>
    </row>
    <row r="10" spans="1:4" x14ac:dyDescent="0.2">
      <c r="A10" s="2" t="s">
        <v>16</v>
      </c>
      <c r="B10" s="3">
        <v>17</v>
      </c>
      <c r="C10" s="12">
        <f>GovByAssemblyDistrict55General[[#This Row],[Part of Kings County Vote Results]]</f>
        <v>17</v>
      </c>
      <c r="D10" s="14"/>
    </row>
    <row r="11" spans="1:4" x14ac:dyDescent="0.2">
      <c r="A11" s="2" t="s">
        <v>10</v>
      </c>
      <c r="B11" s="3">
        <v>105</v>
      </c>
      <c r="C11" s="12">
        <f>GovByAssemblyDistrict55General[[#This Row],[Part of Kings County Vote Results]]</f>
        <v>105</v>
      </c>
      <c r="D11" s="13">
        <f>GovByAssemblyDistrict55General[[#This Row],[Total Votes by Party]]</f>
        <v>105</v>
      </c>
    </row>
    <row r="12" spans="1:4" x14ac:dyDescent="0.2">
      <c r="A12" s="4" t="s">
        <v>11</v>
      </c>
      <c r="B12" s="5">
        <v>66</v>
      </c>
      <c r="C12" s="12">
        <f>GovByAssemblyDistrict55General[[#This Row],[Part of Kings County Vote Results]]</f>
        <v>66</v>
      </c>
      <c r="D12" s="13">
        <f>GovByAssemblyDistrict55General[[#This Row],[Total Votes by Party]]</f>
        <v>66</v>
      </c>
    </row>
    <row r="13" spans="1:4" x14ac:dyDescent="0.2">
      <c r="A13" s="4" t="s">
        <v>0</v>
      </c>
      <c r="B13" s="5">
        <v>363</v>
      </c>
      <c r="C13" s="12">
        <f>GovByAssemblyDistrict55General[[#This Row],[Part of Kings County Vote Results]]</f>
        <v>363</v>
      </c>
      <c r="D13" s="14"/>
    </row>
    <row r="14" spans="1:4" x14ac:dyDescent="0.2">
      <c r="A14" s="4" t="s">
        <v>1</v>
      </c>
      <c r="B14" s="5">
        <v>0</v>
      </c>
      <c r="C14" s="12">
        <f>GovByAssemblyDistrict55General[[#This Row],[Part of Kings County Vote Results]]</f>
        <v>0</v>
      </c>
      <c r="D14" s="14"/>
    </row>
    <row r="15" spans="1:4" x14ac:dyDescent="0.2">
      <c r="A15" s="4" t="s">
        <v>2</v>
      </c>
      <c r="B15" s="5">
        <v>51</v>
      </c>
      <c r="C15" s="12">
        <f>GovByAssemblyDistrict55General[[#This Row],[Part of Kings County Vote Results]]</f>
        <v>51</v>
      </c>
      <c r="D15" s="14"/>
    </row>
    <row r="16" spans="1:4" hidden="1" x14ac:dyDescent="0.2">
      <c r="A16" s="4" t="s">
        <v>4</v>
      </c>
      <c r="B16" s="6">
        <f>SUBTOTAL(109,GovByAssemblyDistrict55General[Total Votes by Candidate])</f>
        <v>29059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B02F1-0D6B-4699-AA59-82939C6654BE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75</v>
      </c>
    </row>
    <row r="2" spans="1:4" ht="24.95" customHeight="1" x14ac:dyDescent="0.2">
      <c r="A2" s="7" t="s">
        <v>12</v>
      </c>
      <c r="B2" s="8" t="s">
        <v>60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33261</v>
      </c>
      <c r="C3" s="12">
        <f>GovByAssemblyDistrict56General[[#This Row],[Part of Kings County Vote Results]]</f>
        <v>33261</v>
      </c>
      <c r="D3" s="13">
        <f>SUM(C3,C7,C8,C9)</f>
        <v>35541</v>
      </c>
    </row>
    <row r="4" spans="1:4" x14ac:dyDescent="0.2">
      <c r="A4" s="2" t="s">
        <v>14</v>
      </c>
      <c r="B4" s="3">
        <v>541</v>
      </c>
      <c r="C4" s="12">
        <f>GovByAssemblyDistrict56General[[#This Row],[Part of Kings County Vote Results]]</f>
        <v>541</v>
      </c>
      <c r="D4" s="13">
        <f>SUM(C4,C5,C10)</f>
        <v>650</v>
      </c>
    </row>
    <row r="5" spans="1:4" x14ac:dyDescent="0.2">
      <c r="A5" s="2" t="s">
        <v>15</v>
      </c>
      <c r="B5" s="3">
        <v>79</v>
      </c>
      <c r="C5" s="12">
        <f>GovByAssemblyDistrict56General[[#This Row],[Part of Kings County Vote Results]]</f>
        <v>79</v>
      </c>
      <c r="D5" s="14"/>
    </row>
    <row r="6" spans="1:4" x14ac:dyDescent="0.2">
      <c r="A6" s="2" t="s">
        <v>6</v>
      </c>
      <c r="B6" s="3">
        <v>1347</v>
      </c>
      <c r="C6" s="12">
        <f>GovByAssemblyDistrict56General[[#This Row],[Part of Kings County Vote Results]]</f>
        <v>1347</v>
      </c>
      <c r="D6" s="13">
        <f>GovByAssemblyDistrict56General[[#This Row],[Total Votes by Party]]</f>
        <v>1347</v>
      </c>
    </row>
    <row r="7" spans="1:4" x14ac:dyDescent="0.2">
      <c r="A7" s="2" t="s">
        <v>7</v>
      </c>
      <c r="B7" s="3">
        <v>1864</v>
      </c>
      <c r="C7" s="12">
        <f>GovByAssemblyDistrict56General[[#This Row],[Part of Kings County Vote Results]]</f>
        <v>1864</v>
      </c>
      <c r="D7" s="14"/>
    </row>
    <row r="8" spans="1:4" x14ac:dyDescent="0.2">
      <c r="A8" s="2" t="s">
        <v>8</v>
      </c>
      <c r="B8" s="3">
        <v>289</v>
      </c>
      <c r="C8" s="12">
        <f>GovByAssemblyDistrict56General[[#This Row],[Part of Kings County Vote Results]]</f>
        <v>289</v>
      </c>
      <c r="D8" s="14"/>
    </row>
    <row r="9" spans="1:4" x14ac:dyDescent="0.2">
      <c r="A9" s="2" t="s">
        <v>9</v>
      </c>
      <c r="B9" s="3">
        <v>127</v>
      </c>
      <c r="C9" s="12">
        <f>GovByAssemblyDistrict56General[[#This Row],[Part of Kings County Vote Results]]</f>
        <v>127</v>
      </c>
      <c r="D9" s="14"/>
    </row>
    <row r="10" spans="1:4" x14ac:dyDescent="0.2">
      <c r="A10" s="2" t="s">
        <v>16</v>
      </c>
      <c r="B10" s="3">
        <v>30</v>
      </c>
      <c r="C10" s="12">
        <f>GovByAssemblyDistrict56General[[#This Row],[Part of Kings County Vote Results]]</f>
        <v>30</v>
      </c>
      <c r="D10" s="14"/>
    </row>
    <row r="11" spans="1:4" x14ac:dyDescent="0.2">
      <c r="A11" s="2" t="s">
        <v>10</v>
      </c>
      <c r="B11" s="3">
        <v>185</v>
      </c>
      <c r="C11" s="12">
        <f>GovByAssemblyDistrict56General[[#This Row],[Part of Kings County Vote Results]]</f>
        <v>185</v>
      </c>
      <c r="D11" s="13">
        <f>GovByAssemblyDistrict56General[[#This Row],[Total Votes by Party]]</f>
        <v>185</v>
      </c>
    </row>
    <row r="12" spans="1:4" x14ac:dyDescent="0.2">
      <c r="A12" s="4" t="s">
        <v>11</v>
      </c>
      <c r="B12" s="5">
        <v>207</v>
      </c>
      <c r="C12" s="12">
        <f>GovByAssemblyDistrict56General[[#This Row],[Part of Kings County Vote Results]]</f>
        <v>207</v>
      </c>
      <c r="D12" s="13">
        <f>GovByAssemblyDistrict56General[[#This Row],[Total Votes by Party]]</f>
        <v>207</v>
      </c>
    </row>
    <row r="13" spans="1:4" x14ac:dyDescent="0.2">
      <c r="A13" s="4" t="s">
        <v>0</v>
      </c>
      <c r="B13" s="5">
        <v>440</v>
      </c>
      <c r="C13" s="12">
        <f>GovByAssemblyDistrict56General[[#This Row],[Part of Kings County Vote Results]]</f>
        <v>440</v>
      </c>
      <c r="D13" s="14"/>
    </row>
    <row r="14" spans="1:4" x14ac:dyDescent="0.2">
      <c r="A14" s="4" t="s">
        <v>1</v>
      </c>
      <c r="B14" s="5">
        <v>0</v>
      </c>
      <c r="C14" s="12">
        <f>GovByAssemblyDistrict56General[[#This Row],[Part of Kings County Vote Results]]</f>
        <v>0</v>
      </c>
      <c r="D14" s="14"/>
    </row>
    <row r="15" spans="1:4" x14ac:dyDescent="0.2">
      <c r="A15" s="4" t="s">
        <v>2</v>
      </c>
      <c r="B15" s="5">
        <v>145</v>
      </c>
      <c r="C15" s="12">
        <f>GovByAssemblyDistrict56General[[#This Row],[Part of Kings County Vote Results]]</f>
        <v>145</v>
      </c>
      <c r="D15" s="14"/>
    </row>
    <row r="16" spans="1:4" hidden="1" x14ac:dyDescent="0.2">
      <c r="A16" s="4" t="s">
        <v>4</v>
      </c>
      <c r="B16" s="6">
        <f>SUBTOTAL(109,GovByAssemblyDistrict56General[Total Votes by Candidate])</f>
        <v>37930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541D6-CC55-4AEF-B245-194434FFA0D6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76</v>
      </c>
    </row>
    <row r="2" spans="1:4" ht="24.95" customHeight="1" x14ac:dyDescent="0.2">
      <c r="A2" s="7" t="s">
        <v>12</v>
      </c>
      <c r="B2" s="8" t="s">
        <v>60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42219</v>
      </c>
      <c r="C3" s="12">
        <f>GovByAssemblyDistrict57General[[#This Row],[Part of Kings County Vote Results]]</f>
        <v>42219</v>
      </c>
      <c r="D3" s="13">
        <f>SUM(C3,C7,C8,C9)</f>
        <v>47081</v>
      </c>
    </row>
    <row r="4" spans="1:4" x14ac:dyDescent="0.2">
      <c r="A4" s="2" t="s">
        <v>14</v>
      </c>
      <c r="B4" s="3">
        <v>886</v>
      </c>
      <c r="C4" s="12">
        <f>GovByAssemblyDistrict57General[[#This Row],[Part of Kings County Vote Results]]</f>
        <v>886</v>
      </c>
      <c r="D4" s="13">
        <f>SUM(C4,C5,C10)</f>
        <v>1047</v>
      </c>
    </row>
    <row r="5" spans="1:4" x14ac:dyDescent="0.2">
      <c r="A5" s="2" t="s">
        <v>15</v>
      </c>
      <c r="B5" s="3">
        <v>118</v>
      </c>
      <c r="C5" s="12">
        <f>GovByAssemblyDistrict57General[[#This Row],[Part of Kings County Vote Results]]</f>
        <v>118</v>
      </c>
      <c r="D5" s="14"/>
    </row>
    <row r="6" spans="1:4" x14ac:dyDescent="0.2">
      <c r="A6" s="2" t="s">
        <v>6</v>
      </c>
      <c r="B6" s="3">
        <v>2214</v>
      </c>
      <c r="C6" s="12">
        <f>GovByAssemblyDistrict57General[[#This Row],[Part of Kings County Vote Results]]</f>
        <v>2214</v>
      </c>
      <c r="D6" s="13">
        <f>GovByAssemblyDistrict57General[[#This Row],[Total Votes by Party]]</f>
        <v>2214</v>
      </c>
    </row>
    <row r="7" spans="1:4" x14ac:dyDescent="0.2">
      <c r="A7" s="2" t="s">
        <v>7</v>
      </c>
      <c r="B7" s="3">
        <v>4179</v>
      </c>
      <c r="C7" s="12">
        <f>GovByAssemblyDistrict57General[[#This Row],[Part of Kings County Vote Results]]</f>
        <v>4179</v>
      </c>
      <c r="D7" s="14"/>
    </row>
    <row r="8" spans="1:4" x14ac:dyDescent="0.2">
      <c r="A8" s="2" t="s">
        <v>8</v>
      </c>
      <c r="B8" s="3">
        <v>447</v>
      </c>
      <c r="C8" s="12">
        <f>GovByAssemblyDistrict57General[[#This Row],[Part of Kings County Vote Results]]</f>
        <v>447</v>
      </c>
      <c r="D8" s="14"/>
    </row>
    <row r="9" spans="1:4" x14ac:dyDescent="0.2">
      <c r="A9" s="2" t="s">
        <v>9</v>
      </c>
      <c r="B9" s="3">
        <v>236</v>
      </c>
      <c r="C9" s="12">
        <f>GovByAssemblyDistrict57General[[#This Row],[Part of Kings County Vote Results]]</f>
        <v>236</v>
      </c>
      <c r="D9" s="14"/>
    </row>
    <row r="10" spans="1:4" x14ac:dyDescent="0.2">
      <c r="A10" s="2" t="s">
        <v>16</v>
      </c>
      <c r="B10" s="3">
        <v>43</v>
      </c>
      <c r="C10" s="12">
        <f>GovByAssemblyDistrict57General[[#This Row],[Part of Kings County Vote Results]]</f>
        <v>43</v>
      </c>
      <c r="D10" s="14"/>
    </row>
    <row r="11" spans="1:4" x14ac:dyDescent="0.2">
      <c r="A11" s="2" t="s">
        <v>10</v>
      </c>
      <c r="B11" s="3">
        <v>278</v>
      </c>
      <c r="C11" s="12">
        <f>GovByAssemblyDistrict57General[[#This Row],[Part of Kings County Vote Results]]</f>
        <v>278</v>
      </c>
      <c r="D11" s="13">
        <f>GovByAssemblyDistrict57General[[#This Row],[Total Votes by Party]]</f>
        <v>278</v>
      </c>
    </row>
    <row r="12" spans="1:4" x14ac:dyDescent="0.2">
      <c r="A12" s="4" t="s">
        <v>11</v>
      </c>
      <c r="B12" s="5">
        <v>423</v>
      </c>
      <c r="C12" s="12">
        <f>GovByAssemblyDistrict57General[[#This Row],[Part of Kings County Vote Results]]</f>
        <v>423</v>
      </c>
      <c r="D12" s="13">
        <f>GovByAssemblyDistrict57General[[#This Row],[Total Votes by Party]]</f>
        <v>423</v>
      </c>
    </row>
    <row r="13" spans="1:4" x14ac:dyDescent="0.2">
      <c r="A13" s="4" t="s">
        <v>0</v>
      </c>
      <c r="B13" s="5">
        <v>667</v>
      </c>
      <c r="C13" s="12">
        <f>GovByAssemblyDistrict57General[[#This Row],[Part of Kings County Vote Results]]</f>
        <v>667</v>
      </c>
      <c r="D13" s="14"/>
    </row>
    <row r="14" spans="1:4" x14ac:dyDescent="0.2">
      <c r="A14" s="4" t="s">
        <v>1</v>
      </c>
      <c r="B14" s="5">
        <v>0</v>
      </c>
      <c r="C14" s="12">
        <f>GovByAssemblyDistrict57General[[#This Row],[Part of Kings County Vote Results]]</f>
        <v>0</v>
      </c>
      <c r="D14" s="14"/>
    </row>
    <row r="15" spans="1:4" x14ac:dyDescent="0.2">
      <c r="A15" s="4" t="s">
        <v>2</v>
      </c>
      <c r="B15" s="5">
        <v>268</v>
      </c>
      <c r="C15" s="12">
        <f>GovByAssemblyDistrict57General[[#This Row],[Part of Kings County Vote Results]]</f>
        <v>268</v>
      </c>
      <c r="D15" s="14"/>
    </row>
    <row r="16" spans="1:4" hidden="1" x14ac:dyDescent="0.2">
      <c r="A16" s="4" t="s">
        <v>4</v>
      </c>
      <c r="B16" s="6">
        <f>SUBTOTAL(109,GovByAssemblyDistrict57General[Total Votes by Candidate])</f>
        <v>51043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86113-C8DF-4A3F-9313-2DC22F172616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77</v>
      </c>
    </row>
    <row r="2" spans="1:4" ht="24.95" customHeight="1" x14ac:dyDescent="0.2">
      <c r="A2" s="7" t="s">
        <v>12</v>
      </c>
      <c r="B2" s="8" t="s">
        <v>60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33229</v>
      </c>
      <c r="C3" s="12">
        <f>GovByAssemblyDistrict58General[[#This Row],[Part of Kings County Vote Results]]</f>
        <v>33229</v>
      </c>
      <c r="D3" s="13">
        <f>SUM(C3,C7,C8,C9)</f>
        <v>33778</v>
      </c>
    </row>
    <row r="4" spans="1:4" x14ac:dyDescent="0.2">
      <c r="A4" s="2" t="s">
        <v>14</v>
      </c>
      <c r="B4" s="3">
        <v>597</v>
      </c>
      <c r="C4" s="12">
        <f>GovByAssemblyDistrict58General[[#This Row],[Part of Kings County Vote Results]]</f>
        <v>597</v>
      </c>
      <c r="D4" s="13">
        <f>SUM(C4,C5,C10)</f>
        <v>691</v>
      </c>
    </row>
    <row r="5" spans="1:4" x14ac:dyDescent="0.2">
      <c r="A5" s="2" t="s">
        <v>15</v>
      </c>
      <c r="B5" s="3">
        <v>79</v>
      </c>
      <c r="C5" s="12">
        <f>GovByAssemblyDistrict58General[[#This Row],[Part of Kings County Vote Results]]</f>
        <v>79</v>
      </c>
      <c r="D5" s="14"/>
    </row>
    <row r="6" spans="1:4" x14ac:dyDescent="0.2">
      <c r="A6" s="2" t="s">
        <v>6</v>
      </c>
      <c r="B6" s="3">
        <v>212</v>
      </c>
      <c r="C6" s="12">
        <f>GovByAssemblyDistrict58General[[#This Row],[Part of Kings County Vote Results]]</f>
        <v>212</v>
      </c>
      <c r="D6" s="13">
        <f>GovByAssemblyDistrict58General[[#This Row],[Total Votes by Party]]</f>
        <v>212</v>
      </c>
    </row>
    <row r="7" spans="1:4" x14ac:dyDescent="0.2">
      <c r="A7" s="2" t="s">
        <v>7</v>
      </c>
      <c r="B7" s="3">
        <v>335</v>
      </c>
      <c r="C7" s="12">
        <f>GovByAssemblyDistrict58General[[#This Row],[Part of Kings County Vote Results]]</f>
        <v>335</v>
      </c>
      <c r="D7" s="14"/>
    </row>
    <row r="8" spans="1:4" x14ac:dyDescent="0.2">
      <c r="A8" s="2" t="s">
        <v>8</v>
      </c>
      <c r="B8" s="3">
        <v>190</v>
      </c>
      <c r="C8" s="12">
        <f>GovByAssemblyDistrict58General[[#This Row],[Part of Kings County Vote Results]]</f>
        <v>190</v>
      </c>
      <c r="D8" s="14"/>
    </row>
    <row r="9" spans="1:4" x14ac:dyDescent="0.2">
      <c r="A9" s="2" t="s">
        <v>9</v>
      </c>
      <c r="B9" s="3">
        <v>24</v>
      </c>
      <c r="C9" s="12">
        <f>GovByAssemblyDistrict58General[[#This Row],[Part of Kings County Vote Results]]</f>
        <v>24</v>
      </c>
      <c r="D9" s="14"/>
    </row>
    <row r="10" spans="1:4" x14ac:dyDescent="0.2">
      <c r="A10" s="2" t="s">
        <v>16</v>
      </c>
      <c r="B10" s="3">
        <v>15</v>
      </c>
      <c r="C10" s="12">
        <f>GovByAssemblyDistrict58General[[#This Row],[Part of Kings County Vote Results]]</f>
        <v>15</v>
      </c>
      <c r="D10" s="14"/>
    </row>
    <row r="11" spans="1:4" x14ac:dyDescent="0.2">
      <c r="A11" s="2" t="s">
        <v>10</v>
      </c>
      <c r="B11" s="3">
        <v>61</v>
      </c>
      <c r="C11" s="12">
        <f>GovByAssemblyDistrict58General[[#This Row],[Part of Kings County Vote Results]]</f>
        <v>61</v>
      </c>
      <c r="D11" s="13">
        <f>GovByAssemblyDistrict58General[[#This Row],[Total Votes by Party]]</f>
        <v>61</v>
      </c>
    </row>
    <row r="12" spans="1:4" x14ac:dyDescent="0.2">
      <c r="A12" s="4" t="s">
        <v>11</v>
      </c>
      <c r="B12" s="5">
        <v>44</v>
      </c>
      <c r="C12" s="12">
        <f>GovByAssemblyDistrict58General[[#This Row],[Part of Kings County Vote Results]]</f>
        <v>44</v>
      </c>
      <c r="D12" s="13">
        <f>GovByAssemblyDistrict58General[[#This Row],[Total Votes by Party]]</f>
        <v>44</v>
      </c>
    </row>
    <row r="13" spans="1:4" x14ac:dyDescent="0.2">
      <c r="A13" s="4" t="s">
        <v>0</v>
      </c>
      <c r="B13" s="5">
        <v>339</v>
      </c>
      <c r="C13" s="12">
        <f>GovByAssemblyDistrict58General[[#This Row],[Part of Kings County Vote Results]]</f>
        <v>339</v>
      </c>
      <c r="D13" s="14"/>
    </row>
    <row r="14" spans="1:4" x14ac:dyDescent="0.2">
      <c r="A14" s="4" t="s">
        <v>1</v>
      </c>
      <c r="B14" s="5">
        <v>0</v>
      </c>
      <c r="C14" s="12">
        <f>GovByAssemblyDistrict58General[[#This Row],[Part of Kings County Vote Results]]</f>
        <v>0</v>
      </c>
      <c r="D14" s="14"/>
    </row>
    <row r="15" spans="1:4" x14ac:dyDescent="0.2">
      <c r="A15" s="4" t="s">
        <v>2</v>
      </c>
      <c r="B15" s="5">
        <v>25</v>
      </c>
      <c r="C15" s="12">
        <f>GovByAssemblyDistrict58General[[#This Row],[Part of Kings County Vote Results]]</f>
        <v>25</v>
      </c>
      <c r="D15" s="14"/>
    </row>
    <row r="16" spans="1:4" hidden="1" x14ac:dyDescent="0.2">
      <c r="A16" s="4" t="s">
        <v>4</v>
      </c>
      <c r="B16" s="6">
        <f>SUBTOTAL(109,GovByAssemblyDistrict58General[Total Votes by Candidate])</f>
        <v>34786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3ED81-6D61-4238-A1D4-3394E6CB6816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78</v>
      </c>
    </row>
    <row r="2" spans="1:4" ht="24.95" customHeight="1" x14ac:dyDescent="0.2">
      <c r="A2" s="7" t="s">
        <v>12</v>
      </c>
      <c r="B2" s="8" t="s">
        <v>60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27481</v>
      </c>
      <c r="C3" s="12">
        <f>GovByAssemblyDistrict59General[[#This Row],[Part of Kings County Vote Results]]</f>
        <v>27481</v>
      </c>
      <c r="D3" s="13">
        <f>SUM(C3,C7,C8,C9)</f>
        <v>28106</v>
      </c>
    </row>
    <row r="4" spans="1:4" x14ac:dyDescent="0.2">
      <c r="A4" s="2" t="s">
        <v>14</v>
      </c>
      <c r="B4" s="3">
        <v>5867</v>
      </c>
      <c r="C4" s="12">
        <f>GovByAssemblyDistrict59General[[#This Row],[Part of Kings County Vote Results]]</f>
        <v>5867</v>
      </c>
      <c r="D4" s="13">
        <f>SUM(C4,C5,C10)</f>
        <v>6554</v>
      </c>
    </row>
    <row r="5" spans="1:4" x14ac:dyDescent="0.2">
      <c r="A5" s="2" t="s">
        <v>15</v>
      </c>
      <c r="B5" s="3">
        <v>646</v>
      </c>
      <c r="C5" s="12">
        <f>GovByAssemblyDistrict59General[[#This Row],[Part of Kings County Vote Results]]</f>
        <v>646</v>
      </c>
      <c r="D5" s="14"/>
    </row>
    <row r="6" spans="1:4" x14ac:dyDescent="0.2">
      <c r="A6" s="2" t="s">
        <v>6</v>
      </c>
      <c r="B6" s="3">
        <v>224</v>
      </c>
      <c r="C6" s="12">
        <f>GovByAssemblyDistrict59General[[#This Row],[Part of Kings County Vote Results]]</f>
        <v>224</v>
      </c>
      <c r="D6" s="13">
        <f>GovByAssemblyDistrict59General[[#This Row],[Total Votes by Party]]</f>
        <v>224</v>
      </c>
    </row>
    <row r="7" spans="1:4" x14ac:dyDescent="0.2">
      <c r="A7" s="2" t="s">
        <v>7</v>
      </c>
      <c r="B7" s="3">
        <v>355</v>
      </c>
      <c r="C7" s="12">
        <f>GovByAssemblyDistrict59General[[#This Row],[Part of Kings County Vote Results]]</f>
        <v>355</v>
      </c>
      <c r="D7" s="14"/>
    </row>
    <row r="8" spans="1:4" x14ac:dyDescent="0.2">
      <c r="A8" s="2" t="s">
        <v>8</v>
      </c>
      <c r="B8" s="3">
        <v>245</v>
      </c>
      <c r="C8" s="12">
        <f>GovByAssemblyDistrict59General[[#This Row],[Part of Kings County Vote Results]]</f>
        <v>245</v>
      </c>
      <c r="D8" s="14"/>
    </row>
    <row r="9" spans="1:4" x14ac:dyDescent="0.2">
      <c r="A9" s="2" t="s">
        <v>9</v>
      </c>
      <c r="B9" s="3">
        <v>25</v>
      </c>
      <c r="C9" s="12">
        <f>GovByAssemblyDistrict59General[[#This Row],[Part of Kings County Vote Results]]</f>
        <v>25</v>
      </c>
      <c r="D9" s="14"/>
    </row>
    <row r="10" spans="1:4" x14ac:dyDescent="0.2">
      <c r="A10" s="2" t="s">
        <v>16</v>
      </c>
      <c r="B10" s="3">
        <v>41</v>
      </c>
      <c r="C10" s="12">
        <f>GovByAssemblyDistrict59General[[#This Row],[Part of Kings County Vote Results]]</f>
        <v>41</v>
      </c>
      <c r="D10" s="14"/>
    </row>
    <row r="11" spans="1:4" x14ac:dyDescent="0.2">
      <c r="A11" s="2" t="s">
        <v>10</v>
      </c>
      <c r="B11" s="3">
        <v>137</v>
      </c>
      <c r="C11" s="12">
        <f>GovByAssemblyDistrict59General[[#This Row],[Part of Kings County Vote Results]]</f>
        <v>137</v>
      </c>
      <c r="D11" s="13">
        <f>GovByAssemblyDistrict59General[[#This Row],[Total Votes by Party]]</f>
        <v>137</v>
      </c>
    </row>
    <row r="12" spans="1:4" x14ac:dyDescent="0.2">
      <c r="A12" s="4" t="s">
        <v>11</v>
      </c>
      <c r="B12" s="5">
        <v>49</v>
      </c>
      <c r="C12" s="12">
        <f>GovByAssemblyDistrict59General[[#This Row],[Part of Kings County Vote Results]]</f>
        <v>49</v>
      </c>
      <c r="D12" s="13">
        <f>GovByAssemblyDistrict59General[[#This Row],[Total Votes by Party]]</f>
        <v>49</v>
      </c>
    </row>
    <row r="13" spans="1:4" x14ac:dyDescent="0.2">
      <c r="A13" s="4" t="s">
        <v>0</v>
      </c>
      <c r="B13" s="5">
        <v>349</v>
      </c>
      <c r="C13" s="12">
        <f>GovByAssemblyDistrict59General[[#This Row],[Part of Kings County Vote Results]]</f>
        <v>349</v>
      </c>
      <c r="D13" s="14"/>
    </row>
    <row r="14" spans="1:4" x14ac:dyDescent="0.2">
      <c r="A14" s="4" t="s">
        <v>1</v>
      </c>
      <c r="B14" s="5">
        <v>0</v>
      </c>
      <c r="C14" s="12">
        <f>GovByAssemblyDistrict59General[[#This Row],[Part of Kings County Vote Results]]</f>
        <v>0</v>
      </c>
      <c r="D14" s="14"/>
    </row>
    <row r="15" spans="1:4" x14ac:dyDescent="0.2">
      <c r="A15" s="4" t="s">
        <v>2</v>
      </c>
      <c r="B15" s="5">
        <v>32</v>
      </c>
      <c r="C15" s="12">
        <f>GovByAssemblyDistrict59General[[#This Row],[Part of Kings County Vote Results]]</f>
        <v>32</v>
      </c>
      <c r="D15" s="14"/>
    </row>
    <row r="16" spans="1:4" hidden="1" x14ac:dyDescent="0.2">
      <c r="A16" s="4" t="s">
        <v>4</v>
      </c>
      <c r="B16" s="6">
        <f>SUBTOTAL(109,GovByAssemblyDistrict59General[Total Votes by Candidate])</f>
        <v>35070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C7B7B-EC90-4992-8798-4B89985B8262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23</v>
      </c>
    </row>
    <row r="2" spans="1:4" ht="24.95" customHeight="1" x14ac:dyDescent="0.2">
      <c r="A2" s="7" t="s">
        <v>12</v>
      </c>
      <c r="B2" s="8" t="s">
        <v>13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20109</v>
      </c>
      <c r="C3" s="12">
        <f>GovByAssemblyDistrict6General[[#This Row],[Part of Suffolk County Vote Results]]</f>
        <v>20109</v>
      </c>
      <c r="D3" s="13">
        <f>SUM(C3,C7,C8,C9)</f>
        <v>20791</v>
      </c>
    </row>
    <row r="4" spans="1:4" x14ac:dyDescent="0.2">
      <c r="A4" s="2" t="s">
        <v>14</v>
      </c>
      <c r="B4" s="3">
        <v>4693</v>
      </c>
      <c r="C4" s="12">
        <f>GovByAssemblyDistrict6General[[#This Row],[Part of Suffolk County Vote Results]]</f>
        <v>4693</v>
      </c>
      <c r="D4" s="13">
        <f>SUM(C4,C5,C10)</f>
        <v>5248</v>
      </c>
    </row>
    <row r="5" spans="1:4" x14ac:dyDescent="0.2">
      <c r="A5" s="2" t="s">
        <v>15</v>
      </c>
      <c r="B5" s="3">
        <v>504</v>
      </c>
      <c r="C5" s="12">
        <f>GovByAssemblyDistrict6General[[#This Row],[Part of Suffolk County Vote Results]]</f>
        <v>504</v>
      </c>
      <c r="D5" s="14"/>
    </row>
    <row r="6" spans="1:4" x14ac:dyDescent="0.2">
      <c r="A6" s="2" t="s">
        <v>6</v>
      </c>
      <c r="B6" s="3">
        <v>196</v>
      </c>
      <c r="C6" s="12">
        <f>GovByAssemblyDistrict6General[[#This Row],[Part of Suffolk County Vote Results]]</f>
        <v>196</v>
      </c>
      <c r="D6" s="13">
        <f>GovByAssemblyDistrict6General[[#This Row],[Total Votes by Party]]</f>
        <v>196</v>
      </c>
    </row>
    <row r="7" spans="1:4" x14ac:dyDescent="0.2">
      <c r="A7" s="2" t="s">
        <v>7</v>
      </c>
      <c r="B7" s="3">
        <v>303</v>
      </c>
      <c r="C7" s="12">
        <f>GovByAssemblyDistrict6General[[#This Row],[Part of Suffolk County Vote Results]]</f>
        <v>303</v>
      </c>
      <c r="D7" s="14"/>
    </row>
    <row r="8" spans="1:4" x14ac:dyDescent="0.2">
      <c r="A8" s="2" t="s">
        <v>8</v>
      </c>
      <c r="B8" s="3">
        <v>240</v>
      </c>
      <c r="C8" s="12">
        <f>GovByAssemblyDistrict6General[[#This Row],[Part of Suffolk County Vote Results]]</f>
        <v>240</v>
      </c>
      <c r="D8" s="14"/>
    </row>
    <row r="9" spans="1:4" x14ac:dyDescent="0.2">
      <c r="A9" s="2" t="s">
        <v>9</v>
      </c>
      <c r="B9" s="3">
        <v>139</v>
      </c>
      <c r="C9" s="12">
        <f>GovByAssemblyDistrict6General[[#This Row],[Part of Suffolk County Vote Results]]</f>
        <v>139</v>
      </c>
      <c r="D9" s="14"/>
    </row>
    <row r="10" spans="1:4" x14ac:dyDescent="0.2">
      <c r="A10" s="2" t="s">
        <v>16</v>
      </c>
      <c r="B10" s="3">
        <v>51</v>
      </c>
      <c r="C10" s="12">
        <f>GovByAssemblyDistrict6General[[#This Row],[Part of Suffolk County Vote Results]]</f>
        <v>51</v>
      </c>
      <c r="D10" s="14"/>
    </row>
    <row r="11" spans="1:4" x14ac:dyDescent="0.2">
      <c r="A11" s="2" t="s">
        <v>10</v>
      </c>
      <c r="B11" s="3">
        <v>113</v>
      </c>
      <c r="C11" s="12">
        <f>GovByAssemblyDistrict6General[[#This Row],[Part of Suffolk County Vote Results]]</f>
        <v>113</v>
      </c>
      <c r="D11" s="13">
        <f>GovByAssemblyDistrict6General[[#This Row],[Total Votes by Party]]</f>
        <v>113</v>
      </c>
    </row>
    <row r="12" spans="1:4" x14ac:dyDescent="0.2">
      <c r="A12" s="4" t="s">
        <v>11</v>
      </c>
      <c r="B12" s="5">
        <v>102</v>
      </c>
      <c r="C12" s="12">
        <f>GovByAssemblyDistrict6General[[#This Row],[Part of Suffolk County Vote Results]]</f>
        <v>102</v>
      </c>
      <c r="D12" s="13">
        <f>GovByAssemblyDistrict6General[[#This Row],[Total Votes by Party]]</f>
        <v>102</v>
      </c>
    </row>
    <row r="13" spans="1:4" x14ac:dyDescent="0.2">
      <c r="A13" s="4" t="s">
        <v>0</v>
      </c>
      <c r="B13" s="5">
        <v>436</v>
      </c>
      <c r="C13" s="12">
        <f>GovByAssemblyDistrict6General[[#This Row],[Part of Suffolk County Vote Results]]</f>
        <v>436</v>
      </c>
      <c r="D13" s="14"/>
    </row>
    <row r="14" spans="1:4" x14ac:dyDescent="0.2">
      <c r="A14" s="4" t="s">
        <v>1</v>
      </c>
      <c r="B14" s="5">
        <v>34</v>
      </c>
      <c r="C14" s="12">
        <f>GovByAssemblyDistrict6General[[#This Row],[Part of Suffolk County Vote Results]]</f>
        <v>34</v>
      </c>
      <c r="D14" s="14"/>
    </row>
    <row r="15" spans="1:4" x14ac:dyDescent="0.2">
      <c r="A15" s="4" t="s">
        <v>2</v>
      </c>
      <c r="B15" s="5">
        <v>7</v>
      </c>
      <c r="C15" s="12">
        <f>GovByAssemblyDistrict6General[[#This Row],[Part of Suffolk County Vote Results]]</f>
        <v>7</v>
      </c>
      <c r="D15" s="14"/>
    </row>
    <row r="16" spans="1:4" hidden="1" x14ac:dyDescent="0.2">
      <c r="A16" s="4" t="s">
        <v>4</v>
      </c>
      <c r="B16" s="6">
        <f>SUBTOTAL(109,GovByAssemblyDistrict6General[Total Votes by Candidate])</f>
        <v>26450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D7499-99C9-4AE0-938A-F6E22E7385CE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79</v>
      </c>
    </row>
    <row r="2" spans="1:4" ht="24.95" customHeight="1" x14ac:dyDescent="0.2">
      <c r="A2" s="7" t="s">
        <v>12</v>
      </c>
      <c r="B2" s="8" t="s">
        <v>60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29578</v>
      </c>
      <c r="C3" s="12">
        <f>GovByAssemblyDistrict60General[[#This Row],[Part of Kings County Vote Results]]</f>
        <v>29578</v>
      </c>
      <c r="D3" s="13">
        <f>SUM(C3,C7,C8,C9)</f>
        <v>30091</v>
      </c>
    </row>
    <row r="4" spans="1:4" x14ac:dyDescent="0.2">
      <c r="A4" s="2" t="s">
        <v>14</v>
      </c>
      <c r="B4" s="3">
        <v>751</v>
      </c>
      <c r="C4" s="12">
        <f>GovByAssemblyDistrict60General[[#This Row],[Part of Kings County Vote Results]]</f>
        <v>751</v>
      </c>
      <c r="D4" s="13">
        <f>SUM(C4,C5,C10)</f>
        <v>838</v>
      </c>
    </row>
    <row r="5" spans="1:4" x14ac:dyDescent="0.2">
      <c r="A5" s="2" t="s">
        <v>15</v>
      </c>
      <c r="B5" s="3">
        <v>72</v>
      </c>
      <c r="C5" s="12">
        <f>GovByAssemblyDistrict60General[[#This Row],[Part of Kings County Vote Results]]</f>
        <v>72</v>
      </c>
      <c r="D5" s="14"/>
    </row>
    <row r="6" spans="1:4" x14ac:dyDescent="0.2">
      <c r="A6" s="2" t="s">
        <v>6</v>
      </c>
      <c r="B6" s="3">
        <v>140</v>
      </c>
      <c r="C6" s="12">
        <f>GovByAssemblyDistrict60General[[#This Row],[Part of Kings County Vote Results]]</f>
        <v>140</v>
      </c>
      <c r="D6" s="13">
        <f>GovByAssemblyDistrict60General[[#This Row],[Total Votes by Party]]</f>
        <v>140</v>
      </c>
    </row>
    <row r="7" spans="1:4" x14ac:dyDescent="0.2">
      <c r="A7" s="2" t="s">
        <v>7</v>
      </c>
      <c r="B7" s="3">
        <v>320</v>
      </c>
      <c r="C7" s="12">
        <f>GovByAssemblyDistrict60General[[#This Row],[Part of Kings County Vote Results]]</f>
        <v>320</v>
      </c>
      <c r="D7" s="14"/>
    </row>
    <row r="8" spans="1:4" x14ac:dyDescent="0.2">
      <c r="A8" s="2" t="s">
        <v>8</v>
      </c>
      <c r="B8" s="3">
        <v>165</v>
      </c>
      <c r="C8" s="12">
        <f>GovByAssemblyDistrict60General[[#This Row],[Part of Kings County Vote Results]]</f>
        <v>165</v>
      </c>
      <c r="D8" s="14"/>
    </row>
    <row r="9" spans="1:4" x14ac:dyDescent="0.2">
      <c r="A9" s="2" t="s">
        <v>9</v>
      </c>
      <c r="B9" s="3">
        <v>28</v>
      </c>
      <c r="C9" s="12">
        <f>GovByAssemblyDistrict60General[[#This Row],[Part of Kings County Vote Results]]</f>
        <v>28</v>
      </c>
      <c r="D9" s="14"/>
    </row>
    <row r="10" spans="1:4" x14ac:dyDescent="0.2">
      <c r="A10" s="2" t="s">
        <v>16</v>
      </c>
      <c r="B10" s="3">
        <v>15</v>
      </c>
      <c r="C10" s="12">
        <f>GovByAssemblyDistrict60General[[#This Row],[Part of Kings County Vote Results]]</f>
        <v>15</v>
      </c>
      <c r="D10" s="14"/>
    </row>
    <row r="11" spans="1:4" x14ac:dyDescent="0.2">
      <c r="A11" s="2" t="s">
        <v>10</v>
      </c>
      <c r="B11" s="3">
        <v>69</v>
      </c>
      <c r="C11" s="12">
        <f>GovByAssemblyDistrict60General[[#This Row],[Part of Kings County Vote Results]]</f>
        <v>69</v>
      </c>
      <c r="D11" s="13">
        <f>GovByAssemblyDistrict60General[[#This Row],[Total Votes by Party]]</f>
        <v>69</v>
      </c>
    </row>
    <row r="12" spans="1:4" x14ac:dyDescent="0.2">
      <c r="A12" s="4" t="s">
        <v>11</v>
      </c>
      <c r="B12" s="5">
        <v>23</v>
      </c>
      <c r="C12" s="12">
        <f>GovByAssemblyDistrict60General[[#This Row],[Part of Kings County Vote Results]]</f>
        <v>23</v>
      </c>
      <c r="D12" s="13">
        <f>GovByAssemblyDistrict60General[[#This Row],[Total Votes by Party]]</f>
        <v>23</v>
      </c>
    </row>
    <row r="13" spans="1:4" x14ac:dyDescent="0.2">
      <c r="A13" s="4" t="s">
        <v>0</v>
      </c>
      <c r="B13" s="5">
        <v>337</v>
      </c>
      <c r="C13" s="12">
        <f>GovByAssemblyDistrict60General[[#This Row],[Part of Kings County Vote Results]]</f>
        <v>337</v>
      </c>
      <c r="D13" s="14"/>
    </row>
    <row r="14" spans="1:4" x14ac:dyDescent="0.2">
      <c r="A14" s="4" t="s">
        <v>1</v>
      </c>
      <c r="B14" s="5">
        <v>0</v>
      </c>
      <c r="C14" s="12">
        <f>GovByAssemblyDistrict60General[[#This Row],[Part of Kings County Vote Results]]</f>
        <v>0</v>
      </c>
      <c r="D14" s="14"/>
    </row>
    <row r="15" spans="1:4" x14ac:dyDescent="0.2">
      <c r="A15" s="4" t="s">
        <v>2</v>
      </c>
      <c r="B15" s="5">
        <v>31</v>
      </c>
      <c r="C15" s="12">
        <f>GovByAssemblyDistrict60General[[#This Row],[Part of Kings County Vote Results]]</f>
        <v>31</v>
      </c>
      <c r="D15" s="14"/>
    </row>
    <row r="16" spans="1:4" hidden="1" x14ac:dyDescent="0.2">
      <c r="A16" s="4" t="s">
        <v>4</v>
      </c>
      <c r="B16" s="6">
        <f>SUBTOTAL(109,GovByAssemblyDistrict60General[Total Votes by Candidate])</f>
        <v>31161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74F7F-0F12-4824-A2C4-58ECC360E652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80</v>
      </c>
    </row>
    <row r="2" spans="1:4" ht="24.95" customHeight="1" x14ac:dyDescent="0.2">
      <c r="A2" s="7" t="s">
        <v>12</v>
      </c>
      <c r="B2" s="8" t="s">
        <v>81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23920</v>
      </c>
      <c r="C3" s="12">
        <f>GovByAssemblyDistrict61General[[#This Row],[Part of Richmond County Vote Results]]</f>
        <v>23920</v>
      </c>
      <c r="D3" s="13">
        <f>SUM(C3,C7,C8,C9)</f>
        <v>25278</v>
      </c>
    </row>
    <row r="4" spans="1:4" x14ac:dyDescent="0.2">
      <c r="A4" s="2" t="s">
        <v>14</v>
      </c>
      <c r="B4" s="3">
        <v>8019</v>
      </c>
      <c r="C4" s="12">
        <f>GovByAssemblyDistrict61General[[#This Row],[Part of Richmond County Vote Results]]</f>
        <v>8019</v>
      </c>
      <c r="D4" s="13">
        <f>SUM(C4,C5,C10)</f>
        <v>9177</v>
      </c>
    </row>
    <row r="5" spans="1:4" x14ac:dyDescent="0.2">
      <c r="A5" s="2" t="s">
        <v>15</v>
      </c>
      <c r="B5" s="3">
        <v>1074</v>
      </c>
      <c r="C5" s="12">
        <f>GovByAssemblyDistrict61General[[#This Row],[Part of Richmond County Vote Results]]</f>
        <v>1074</v>
      </c>
      <c r="D5" s="14"/>
    </row>
    <row r="6" spans="1:4" x14ac:dyDescent="0.2">
      <c r="A6" s="2" t="s">
        <v>6</v>
      </c>
      <c r="B6" s="3">
        <v>440</v>
      </c>
      <c r="C6" s="12">
        <f>GovByAssemblyDistrict61General[[#This Row],[Part of Richmond County Vote Results]]</f>
        <v>440</v>
      </c>
      <c r="D6" s="13">
        <f>GovByAssemblyDistrict61General[[#This Row],[Total Votes by Party]]</f>
        <v>440</v>
      </c>
    </row>
    <row r="7" spans="1:4" x14ac:dyDescent="0.2">
      <c r="A7" s="2" t="s">
        <v>7</v>
      </c>
      <c r="B7" s="3">
        <v>733</v>
      </c>
      <c r="C7" s="12">
        <f>GovByAssemblyDistrict61General[[#This Row],[Part of Richmond County Vote Results]]</f>
        <v>733</v>
      </c>
      <c r="D7" s="14"/>
    </row>
    <row r="8" spans="1:4" x14ac:dyDescent="0.2">
      <c r="A8" s="2" t="s">
        <v>8</v>
      </c>
      <c r="B8" s="3">
        <v>507</v>
      </c>
      <c r="C8" s="12">
        <f>GovByAssemblyDistrict61General[[#This Row],[Part of Richmond County Vote Results]]</f>
        <v>507</v>
      </c>
      <c r="D8" s="14"/>
    </row>
    <row r="9" spans="1:4" x14ac:dyDescent="0.2">
      <c r="A9" s="2" t="s">
        <v>9</v>
      </c>
      <c r="B9" s="3">
        <v>118</v>
      </c>
      <c r="C9" s="12">
        <f>GovByAssemblyDistrict61General[[#This Row],[Part of Richmond County Vote Results]]</f>
        <v>118</v>
      </c>
      <c r="D9" s="14"/>
    </row>
    <row r="10" spans="1:4" x14ac:dyDescent="0.2">
      <c r="A10" s="2" t="s">
        <v>16</v>
      </c>
      <c r="B10" s="3">
        <v>84</v>
      </c>
      <c r="C10" s="12">
        <f>GovByAssemblyDistrict61General[[#This Row],[Part of Richmond County Vote Results]]</f>
        <v>84</v>
      </c>
      <c r="D10" s="14"/>
    </row>
    <row r="11" spans="1:4" x14ac:dyDescent="0.2">
      <c r="A11" s="2" t="s">
        <v>10</v>
      </c>
      <c r="B11" s="3">
        <v>262</v>
      </c>
      <c r="C11" s="12">
        <f>GovByAssemblyDistrict61General[[#This Row],[Part of Richmond County Vote Results]]</f>
        <v>262</v>
      </c>
      <c r="D11" s="13">
        <f>GovByAssemblyDistrict61General[[#This Row],[Total Votes by Party]]</f>
        <v>262</v>
      </c>
    </row>
    <row r="12" spans="1:4" x14ac:dyDescent="0.2">
      <c r="A12" s="4" t="s">
        <v>11</v>
      </c>
      <c r="B12" s="5">
        <v>111</v>
      </c>
      <c r="C12" s="12">
        <f>GovByAssemblyDistrict61General[[#This Row],[Part of Richmond County Vote Results]]</f>
        <v>111</v>
      </c>
      <c r="D12" s="13">
        <f>GovByAssemblyDistrict61General[[#This Row],[Total Votes by Party]]</f>
        <v>111</v>
      </c>
    </row>
    <row r="13" spans="1:4" x14ac:dyDescent="0.2">
      <c r="A13" s="4" t="s">
        <v>0</v>
      </c>
      <c r="B13" s="5">
        <v>476</v>
      </c>
      <c r="C13" s="12">
        <f>GovByAssemblyDistrict61General[[#This Row],[Part of Richmond County Vote Results]]</f>
        <v>476</v>
      </c>
      <c r="D13" s="14"/>
    </row>
    <row r="14" spans="1:4" x14ac:dyDescent="0.2">
      <c r="A14" s="4" t="s">
        <v>1</v>
      </c>
      <c r="B14" s="5">
        <v>0</v>
      </c>
      <c r="C14" s="12">
        <f>GovByAssemblyDistrict61General[[#This Row],[Part of Richmond County Vote Results]]</f>
        <v>0</v>
      </c>
      <c r="D14" s="14"/>
    </row>
    <row r="15" spans="1:4" x14ac:dyDescent="0.2">
      <c r="A15" s="4" t="s">
        <v>2</v>
      </c>
      <c r="B15" s="5">
        <v>37</v>
      </c>
      <c r="C15" s="12">
        <f>GovByAssemblyDistrict61General[[#This Row],[Part of Richmond County Vote Results]]</f>
        <v>37</v>
      </c>
      <c r="D15" s="14"/>
    </row>
    <row r="16" spans="1:4" hidden="1" x14ac:dyDescent="0.2">
      <c r="A16" s="4" t="s">
        <v>4</v>
      </c>
      <c r="B16" s="6">
        <f>SUBTOTAL(109,GovByAssemblyDistrict61General[Total Votes by Candidate])</f>
        <v>35268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3F2B3-9262-4757-A05E-9AF2EAFFC26B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82</v>
      </c>
    </row>
    <row r="2" spans="1:4" ht="24.95" customHeight="1" x14ac:dyDescent="0.2">
      <c r="A2" s="7" t="s">
        <v>12</v>
      </c>
      <c r="B2" s="8" t="s">
        <v>81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12050</v>
      </c>
      <c r="C3" s="12">
        <f>GovByAssemblyDistrict62General[[#This Row],[Part of Richmond County Vote Results]]</f>
        <v>12050</v>
      </c>
      <c r="D3" s="13">
        <f>SUM(C3,C7,C8,C9)</f>
        <v>12906</v>
      </c>
    </row>
    <row r="4" spans="1:4" x14ac:dyDescent="0.2">
      <c r="A4" s="2" t="s">
        <v>14</v>
      </c>
      <c r="B4" s="3">
        <v>24847</v>
      </c>
      <c r="C4" s="12">
        <f>GovByAssemblyDistrict62General[[#This Row],[Part of Richmond County Vote Results]]</f>
        <v>24847</v>
      </c>
      <c r="D4" s="13">
        <f>SUM(C4,C5,C10)</f>
        <v>27082</v>
      </c>
    </row>
    <row r="5" spans="1:4" x14ac:dyDescent="0.2">
      <c r="A5" s="2" t="s">
        <v>15</v>
      </c>
      <c r="B5" s="3">
        <v>2080</v>
      </c>
      <c r="C5" s="12">
        <f>GovByAssemblyDistrict62General[[#This Row],[Part of Richmond County Vote Results]]</f>
        <v>2080</v>
      </c>
      <c r="D5" s="14"/>
    </row>
    <row r="6" spans="1:4" x14ac:dyDescent="0.2">
      <c r="A6" s="2" t="s">
        <v>6</v>
      </c>
      <c r="B6" s="3">
        <v>241</v>
      </c>
      <c r="C6" s="12">
        <f>GovByAssemblyDistrict62General[[#This Row],[Part of Richmond County Vote Results]]</f>
        <v>241</v>
      </c>
      <c r="D6" s="13">
        <f>GovByAssemblyDistrict62General[[#This Row],[Total Votes by Party]]</f>
        <v>241</v>
      </c>
    </row>
    <row r="7" spans="1:4" x14ac:dyDescent="0.2">
      <c r="A7" s="2" t="s">
        <v>7</v>
      </c>
      <c r="B7" s="3">
        <v>326</v>
      </c>
      <c r="C7" s="12">
        <f>GovByAssemblyDistrict62General[[#This Row],[Part of Richmond County Vote Results]]</f>
        <v>326</v>
      </c>
      <c r="D7" s="14"/>
    </row>
    <row r="8" spans="1:4" x14ac:dyDescent="0.2">
      <c r="A8" s="2" t="s">
        <v>8</v>
      </c>
      <c r="B8" s="3">
        <v>464</v>
      </c>
      <c r="C8" s="12">
        <f>GovByAssemblyDistrict62General[[#This Row],[Part of Richmond County Vote Results]]</f>
        <v>464</v>
      </c>
      <c r="D8" s="14"/>
    </row>
    <row r="9" spans="1:4" x14ac:dyDescent="0.2">
      <c r="A9" s="2" t="s">
        <v>9</v>
      </c>
      <c r="B9" s="3">
        <v>66</v>
      </c>
      <c r="C9" s="12">
        <f>GovByAssemblyDistrict62General[[#This Row],[Part of Richmond County Vote Results]]</f>
        <v>66</v>
      </c>
      <c r="D9" s="14"/>
    </row>
    <row r="10" spans="1:4" x14ac:dyDescent="0.2">
      <c r="A10" s="2" t="s">
        <v>16</v>
      </c>
      <c r="B10" s="3">
        <v>155</v>
      </c>
      <c r="C10" s="12">
        <f>GovByAssemblyDistrict62General[[#This Row],[Part of Richmond County Vote Results]]</f>
        <v>155</v>
      </c>
      <c r="D10" s="14"/>
    </row>
    <row r="11" spans="1:4" x14ac:dyDescent="0.2">
      <c r="A11" s="2" t="s">
        <v>10</v>
      </c>
      <c r="B11" s="3">
        <v>278</v>
      </c>
      <c r="C11" s="12">
        <f>GovByAssemblyDistrict62General[[#This Row],[Part of Richmond County Vote Results]]</f>
        <v>278</v>
      </c>
      <c r="D11" s="13">
        <f>GovByAssemblyDistrict62General[[#This Row],[Total Votes by Party]]</f>
        <v>278</v>
      </c>
    </row>
    <row r="12" spans="1:4" x14ac:dyDescent="0.2">
      <c r="A12" s="4" t="s">
        <v>11</v>
      </c>
      <c r="B12" s="5">
        <v>48</v>
      </c>
      <c r="C12" s="12">
        <f>GovByAssemblyDistrict62General[[#This Row],[Part of Richmond County Vote Results]]</f>
        <v>48</v>
      </c>
      <c r="D12" s="13">
        <f>GovByAssemblyDistrict62General[[#This Row],[Total Votes by Party]]</f>
        <v>48</v>
      </c>
    </row>
    <row r="13" spans="1:4" x14ac:dyDescent="0.2">
      <c r="A13" s="4" t="s">
        <v>0</v>
      </c>
      <c r="B13" s="5">
        <v>389</v>
      </c>
      <c r="C13" s="12">
        <f>GovByAssemblyDistrict62General[[#This Row],[Part of Richmond County Vote Results]]</f>
        <v>389</v>
      </c>
      <c r="D13" s="14"/>
    </row>
    <row r="14" spans="1:4" x14ac:dyDescent="0.2">
      <c r="A14" s="4" t="s">
        <v>1</v>
      </c>
      <c r="B14" s="5">
        <v>0</v>
      </c>
      <c r="C14" s="12">
        <f>GovByAssemblyDistrict62General[[#This Row],[Part of Richmond County Vote Results]]</f>
        <v>0</v>
      </c>
      <c r="D14" s="14"/>
    </row>
    <row r="15" spans="1:4" x14ac:dyDescent="0.2">
      <c r="A15" s="4" t="s">
        <v>2</v>
      </c>
      <c r="B15" s="5">
        <v>18</v>
      </c>
      <c r="C15" s="12">
        <f>GovByAssemblyDistrict62General[[#This Row],[Part of Richmond County Vote Results]]</f>
        <v>18</v>
      </c>
      <c r="D15" s="14"/>
    </row>
    <row r="16" spans="1:4" hidden="1" x14ac:dyDescent="0.2">
      <c r="A16" s="4" t="s">
        <v>4</v>
      </c>
      <c r="B16" s="6">
        <f>SUBTOTAL(109,GovByAssemblyDistrict62General[Total Votes by Candidate])</f>
        <v>40555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8F785-C044-4D73-88D3-A06905B113FE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83</v>
      </c>
    </row>
    <row r="2" spans="1:4" ht="24.95" customHeight="1" x14ac:dyDescent="0.2">
      <c r="A2" s="7" t="s">
        <v>12</v>
      </c>
      <c r="B2" s="8" t="s">
        <v>81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18257</v>
      </c>
      <c r="C3" s="12">
        <f>GovByAssemblyDistrict63General[[#This Row],[Part of Richmond County Vote Results]]</f>
        <v>18257</v>
      </c>
      <c r="D3" s="13">
        <f>SUM(C3,C7,C8,C9)</f>
        <v>19295</v>
      </c>
    </row>
    <row r="4" spans="1:4" x14ac:dyDescent="0.2">
      <c r="A4" s="2" t="s">
        <v>14</v>
      </c>
      <c r="B4" s="3">
        <v>14823</v>
      </c>
      <c r="C4" s="12">
        <f>GovByAssemblyDistrict63General[[#This Row],[Part of Richmond County Vote Results]]</f>
        <v>14823</v>
      </c>
      <c r="D4" s="13">
        <f>SUM(C4,C5,C10)</f>
        <v>16402</v>
      </c>
    </row>
    <row r="5" spans="1:4" x14ac:dyDescent="0.2">
      <c r="A5" s="2" t="s">
        <v>15</v>
      </c>
      <c r="B5" s="3">
        <v>1466</v>
      </c>
      <c r="C5" s="12">
        <f>GovByAssemblyDistrict63General[[#This Row],[Part of Richmond County Vote Results]]</f>
        <v>1466</v>
      </c>
      <c r="D5" s="14"/>
    </row>
    <row r="6" spans="1:4" x14ac:dyDescent="0.2">
      <c r="A6" s="2" t="s">
        <v>6</v>
      </c>
      <c r="B6" s="3">
        <v>335</v>
      </c>
      <c r="C6" s="12">
        <f>GovByAssemblyDistrict63General[[#This Row],[Part of Richmond County Vote Results]]</f>
        <v>335</v>
      </c>
      <c r="D6" s="13">
        <f>GovByAssemblyDistrict63General[[#This Row],[Total Votes by Party]]</f>
        <v>335</v>
      </c>
    </row>
    <row r="7" spans="1:4" x14ac:dyDescent="0.2">
      <c r="A7" s="2" t="s">
        <v>7</v>
      </c>
      <c r="B7" s="3">
        <v>440</v>
      </c>
      <c r="C7" s="12">
        <f>GovByAssemblyDistrict63General[[#This Row],[Part of Richmond County Vote Results]]</f>
        <v>440</v>
      </c>
      <c r="D7" s="14"/>
    </row>
    <row r="8" spans="1:4" x14ac:dyDescent="0.2">
      <c r="A8" s="2" t="s">
        <v>8</v>
      </c>
      <c r="B8" s="3">
        <v>515</v>
      </c>
      <c r="C8" s="12">
        <f>GovByAssemblyDistrict63General[[#This Row],[Part of Richmond County Vote Results]]</f>
        <v>515</v>
      </c>
      <c r="D8" s="14"/>
    </row>
    <row r="9" spans="1:4" x14ac:dyDescent="0.2">
      <c r="A9" s="2" t="s">
        <v>9</v>
      </c>
      <c r="B9" s="3">
        <v>83</v>
      </c>
      <c r="C9" s="12">
        <f>GovByAssemblyDistrict63General[[#This Row],[Part of Richmond County Vote Results]]</f>
        <v>83</v>
      </c>
      <c r="D9" s="14"/>
    </row>
    <row r="10" spans="1:4" x14ac:dyDescent="0.2">
      <c r="A10" s="2" t="s">
        <v>16</v>
      </c>
      <c r="B10" s="3">
        <v>113</v>
      </c>
      <c r="C10" s="12">
        <f>GovByAssemblyDistrict63General[[#This Row],[Part of Richmond County Vote Results]]</f>
        <v>113</v>
      </c>
      <c r="D10" s="14"/>
    </row>
    <row r="11" spans="1:4" x14ac:dyDescent="0.2">
      <c r="A11" s="2" t="s">
        <v>10</v>
      </c>
      <c r="B11" s="3">
        <v>292</v>
      </c>
      <c r="C11" s="12">
        <f>GovByAssemblyDistrict63General[[#This Row],[Part of Richmond County Vote Results]]</f>
        <v>292</v>
      </c>
      <c r="D11" s="13">
        <f>GovByAssemblyDistrict63General[[#This Row],[Total Votes by Party]]</f>
        <v>292</v>
      </c>
    </row>
    <row r="12" spans="1:4" x14ac:dyDescent="0.2">
      <c r="A12" s="4" t="s">
        <v>11</v>
      </c>
      <c r="B12" s="5">
        <v>90</v>
      </c>
      <c r="C12" s="12">
        <f>GovByAssemblyDistrict63General[[#This Row],[Part of Richmond County Vote Results]]</f>
        <v>90</v>
      </c>
      <c r="D12" s="13">
        <f>GovByAssemblyDistrict63General[[#This Row],[Total Votes by Party]]</f>
        <v>90</v>
      </c>
    </row>
    <row r="13" spans="1:4" x14ac:dyDescent="0.2">
      <c r="A13" s="4" t="s">
        <v>0</v>
      </c>
      <c r="B13" s="5">
        <v>438</v>
      </c>
      <c r="C13" s="12">
        <f>GovByAssemblyDistrict63General[[#This Row],[Part of Richmond County Vote Results]]</f>
        <v>438</v>
      </c>
      <c r="D13" s="14"/>
    </row>
    <row r="14" spans="1:4" x14ac:dyDescent="0.2">
      <c r="A14" s="4" t="s">
        <v>1</v>
      </c>
      <c r="B14" s="5">
        <v>0</v>
      </c>
      <c r="C14" s="12">
        <f>GovByAssemblyDistrict63General[[#This Row],[Part of Richmond County Vote Results]]</f>
        <v>0</v>
      </c>
      <c r="D14" s="14"/>
    </row>
    <row r="15" spans="1:4" x14ac:dyDescent="0.2">
      <c r="A15" s="4" t="s">
        <v>2</v>
      </c>
      <c r="B15" s="5">
        <v>28</v>
      </c>
      <c r="C15" s="12">
        <f>GovByAssemblyDistrict63General[[#This Row],[Part of Richmond County Vote Results]]</f>
        <v>28</v>
      </c>
      <c r="D15" s="14"/>
    </row>
    <row r="16" spans="1:4" hidden="1" x14ac:dyDescent="0.2">
      <c r="A16" s="4" t="s">
        <v>4</v>
      </c>
      <c r="B16" s="6">
        <f>SUBTOTAL(109,GovByAssemblyDistrict63General[Total Votes by Candidate])</f>
        <v>36414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B2D86-4ADE-4891-9348-D7AF0E477811}">
  <dimension ref="A1:E16"/>
  <sheetViews>
    <sheetView workbookViewId="0">
      <selection activeCell="C18" sqref="C18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24.75" customHeight="1" x14ac:dyDescent="0.2">
      <c r="A1" s="1" t="s">
        <v>84</v>
      </c>
    </row>
    <row r="2" spans="1:5" ht="25.5" x14ac:dyDescent="0.2">
      <c r="A2" s="7" t="s">
        <v>12</v>
      </c>
      <c r="B2" s="8" t="s">
        <v>60</v>
      </c>
      <c r="C2" s="8" t="s">
        <v>81</v>
      </c>
      <c r="D2" s="10" t="s">
        <v>228</v>
      </c>
      <c r="E2" s="11" t="s">
        <v>5</v>
      </c>
    </row>
    <row r="3" spans="1:5" x14ac:dyDescent="0.2">
      <c r="A3" s="2" t="s">
        <v>3</v>
      </c>
      <c r="B3" s="3">
        <v>5242</v>
      </c>
      <c r="C3" s="3">
        <v>10846</v>
      </c>
      <c r="D3" s="12">
        <f>SUM(GovByAssemblyDistrict64General[[#This Row],[Part of Kings County Vote Results]:[Part of Richmond County Vote Results]])</f>
        <v>16088</v>
      </c>
      <c r="E3" s="13">
        <f>SUM(D3,D7,D8,D9)</f>
        <v>17329</v>
      </c>
    </row>
    <row r="4" spans="1:5" x14ac:dyDescent="0.2">
      <c r="A4" s="2" t="s">
        <v>14</v>
      </c>
      <c r="B4" s="3">
        <v>2219</v>
      </c>
      <c r="C4" s="3">
        <v>12997</v>
      </c>
      <c r="D4" s="12">
        <f>SUM(GovByAssemblyDistrict64General[[#This Row],[Part of Kings County Vote Results]:[Part of Richmond County Vote Results]])</f>
        <v>15216</v>
      </c>
      <c r="E4" s="13">
        <f>SUM(D4,D5,D10)</f>
        <v>16969</v>
      </c>
    </row>
    <row r="5" spans="1:5" x14ac:dyDescent="0.2">
      <c r="A5" s="2" t="s">
        <v>15</v>
      </c>
      <c r="B5" s="3">
        <v>324</v>
      </c>
      <c r="C5" s="3">
        <v>1332</v>
      </c>
      <c r="D5" s="12">
        <f>SUM(GovByAssemblyDistrict64General[[#This Row],[Part of Kings County Vote Results]:[Part of Richmond County Vote Results]])</f>
        <v>1656</v>
      </c>
      <c r="E5" s="14"/>
    </row>
    <row r="6" spans="1:5" x14ac:dyDescent="0.2">
      <c r="A6" s="2" t="s">
        <v>6</v>
      </c>
      <c r="B6" s="3">
        <v>218</v>
      </c>
      <c r="C6" s="3">
        <v>233</v>
      </c>
      <c r="D6" s="12">
        <f>SUM(GovByAssemblyDistrict64General[[#This Row],[Part of Kings County Vote Results]:[Part of Richmond County Vote Results]])</f>
        <v>451</v>
      </c>
      <c r="E6" s="13">
        <f>GovByAssemblyDistrict64General[[#This Row],[Total Votes by Party]]</f>
        <v>451</v>
      </c>
    </row>
    <row r="7" spans="1:5" x14ac:dyDescent="0.2">
      <c r="A7" s="2" t="s">
        <v>7</v>
      </c>
      <c r="B7" s="3">
        <v>308</v>
      </c>
      <c r="C7" s="3">
        <v>341</v>
      </c>
      <c r="D7" s="12">
        <f>SUM(GovByAssemblyDistrict64General[[#This Row],[Part of Kings County Vote Results]:[Part of Richmond County Vote Results]])</f>
        <v>649</v>
      </c>
      <c r="E7" s="14"/>
    </row>
    <row r="8" spans="1:5" x14ac:dyDescent="0.2">
      <c r="A8" s="2" t="s">
        <v>8</v>
      </c>
      <c r="B8" s="3">
        <v>118</v>
      </c>
      <c r="C8" s="3">
        <v>364</v>
      </c>
      <c r="D8" s="12">
        <f>SUM(GovByAssemblyDistrict64General[[#This Row],[Part of Kings County Vote Results]:[Part of Richmond County Vote Results]])</f>
        <v>482</v>
      </c>
      <c r="E8" s="14"/>
    </row>
    <row r="9" spans="1:5" x14ac:dyDescent="0.2">
      <c r="A9" s="2" t="s">
        <v>9</v>
      </c>
      <c r="B9" s="3">
        <v>24</v>
      </c>
      <c r="C9" s="3">
        <v>86</v>
      </c>
      <c r="D9" s="12">
        <f>SUM(GovByAssemblyDistrict64General[[#This Row],[Part of Kings County Vote Results]:[Part of Richmond County Vote Results]])</f>
        <v>110</v>
      </c>
      <c r="E9" s="14"/>
    </row>
    <row r="10" spans="1:5" x14ac:dyDescent="0.2">
      <c r="A10" s="2" t="s">
        <v>16</v>
      </c>
      <c r="B10" s="3">
        <v>24</v>
      </c>
      <c r="C10" s="3">
        <v>73</v>
      </c>
      <c r="D10" s="12">
        <f>SUM(GovByAssemblyDistrict64General[[#This Row],[Part of Kings County Vote Results]:[Part of Richmond County Vote Results]])</f>
        <v>97</v>
      </c>
      <c r="E10" s="14"/>
    </row>
    <row r="11" spans="1:5" x14ac:dyDescent="0.2">
      <c r="A11" s="2" t="s">
        <v>10</v>
      </c>
      <c r="B11" s="3">
        <v>84</v>
      </c>
      <c r="C11" s="3">
        <v>238</v>
      </c>
      <c r="D11" s="12">
        <f>SUM(GovByAssemblyDistrict64General[[#This Row],[Part of Kings County Vote Results]:[Part of Richmond County Vote Results]])</f>
        <v>322</v>
      </c>
      <c r="E11" s="13">
        <f>GovByAssemblyDistrict64General[[#This Row],[Total Votes by Party]]</f>
        <v>322</v>
      </c>
    </row>
    <row r="12" spans="1:5" x14ac:dyDescent="0.2">
      <c r="A12" s="4" t="s">
        <v>11</v>
      </c>
      <c r="B12" s="3">
        <v>46</v>
      </c>
      <c r="C12" s="3">
        <v>43</v>
      </c>
      <c r="D12" s="12">
        <f>SUM(GovByAssemblyDistrict64General[[#This Row],[Part of Kings County Vote Results]:[Part of Richmond County Vote Results]])</f>
        <v>89</v>
      </c>
      <c r="E12" s="13">
        <f>GovByAssemblyDistrict64General[[#This Row],[Total Votes by Party]]</f>
        <v>89</v>
      </c>
    </row>
    <row r="13" spans="1:5" x14ac:dyDescent="0.2">
      <c r="A13" s="4" t="s">
        <v>0</v>
      </c>
      <c r="B13" s="3">
        <v>141</v>
      </c>
      <c r="C13" s="3">
        <v>329</v>
      </c>
      <c r="D13" s="12">
        <f>SUM(GovByAssemblyDistrict64General[[#This Row],[Part of Kings County Vote Results]:[Part of Richmond County Vote Results]])</f>
        <v>470</v>
      </c>
      <c r="E13" s="14"/>
    </row>
    <row r="14" spans="1:5" x14ac:dyDescent="0.2">
      <c r="A14" s="4" t="s">
        <v>1</v>
      </c>
      <c r="B14" s="3">
        <v>0</v>
      </c>
      <c r="C14" s="3">
        <v>0</v>
      </c>
      <c r="D14" s="12">
        <f>SUM(GovByAssemblyDistrict64General[[#This Row],[Part of Kings County Vote Results]:[Part of Richmond County Vote Results]])</f>
        <v>0</v>
      </c>
      <c r="E14" s="14"/>
    </row>
    <row r="15" spans="1:5" x14ac:dyDescent="0.2">
      <c r="A15" s="4" t="s">
        <v>2</v>
      </c>
      <c r="B15" s="5">
        <v>22</v>
      </c>
      <c r="C15" s="5">
        <v>13</v>
      </c>
      <c r="D15" s="12">
        <f>SUM(GovByAssemblyDistrict64General[[#This Row],[Part of Kings County Vote Results]:[Part of Richmond County Vote Results]])</f>
        <v>35</v>
      </c>
      <c r="E15" s="14"/>
    </row>
    <row r="16" spans="1:5" hidden="1" x14ac:dyDescent="0.2">
      <c r="A16" s="4" t="s">
        <v>4</v>
      </c>
      <c r="B16" s="6">
        <f>SUBTOTAL(109,GovByAssemblyDistrict64General[Part of Kings County Vote Results])</f>
        <v>8770</v>
      </c>
      <c r="C16" s="6">
        <f>SUBTOTAL(109,GovByAssemblyDistrict64General[Total Votes by Party])</f>
        <v>35665</v>
      </c>
      <c r="D16" s="6"/>
      <c r="E16" s="9"/>
    </row>
  </sheetData>
  <pageMargins left="0.7" right="0.7" top="0.75" bottom="0.75" header="0.3" footer="0.3"/>
  <tableParts count="1">
    <tablePart r:id="rId1"/>
  </tablePart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1A56D-3E61-4353-8637-CAB2A6659414}">
  <dimension ref="A1:D16"/>
  <sheetViews>
    <sheetView workbookViewId="0">
      <selection activeCell="B10" sqref="B10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85</v>
      </c>
    </row>
    <row r="2" spans="1:4" ht="24.95" customHeight="1" x14ac:dyDescent="0.2">
      <c r="A2" s="7" t="s">
        <v>12</v>
      </c>
      <c r="B2" s="8" t="s">
        <v>86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27278</v>
      </c>
      <c r="C3" s="12">
        <f>GovByAssemblyDistrict65General[[#This Row],[Part of New York County Vote Results]]</f>
        <v>27278</v>
      </c>
      <c r="D3" s="13">
        <f>SUM(C3,C7,C8,C9)</f>
        <v>29121</v>
      </c>
    </row>
    <row r="4" spans="1:4" x14ac:dyDescent="0.2">
      <c r="A4" s="2" t="s">
        <v>14</v>
      </c>
      <c r="B4" s="3">
        <v>4247</v>
      </c>
      <c r="C4" s="12">
        <f>GovByAssemblyDistrict65General[[#This Row],[Part of New York County Vote Results]]</f>
        <v>4247</v>
      </c>
      <c r="D4" s="13">
        <f>SUM(C4,C5,C10)</f>
        <v>4591</v>
      </c>
    </row>
    <row r="5" spans="1:4" x14ac:dyDescent="0.2">
      <c r="A5" s="2" t="s">
        <v>15</v>
      </c>
      <c r="B5" s="3">
        <v>292</v>
      </c>
      <c r="C5" s="12">
        <f>GovByAssemblyDistrict65General[[#This Row],[Part of New York County Vote Results]]</f>
        <v>292</v>
      </c>
      <c r="D5" s="14"/>
    </row>
    <row r="6" spans="1:4" x14ac:dyDescent="0.2">
      <c r="A6" s="2" t="s">
        <v>6</v>
      </c>
      <c r="B6" s="3">
        <v>1008</v>
      </c>
      <c r="C6" s="12">
        <f>GovByAssemblyDistrict65General[[#This Row],[Part of New York County Vote Results]]</f>
        <v>1008</v>
      </c>
      <c r="D6" s="13">
        <f>GovByAssemblyDistrict65General[[#This Row],[Total Votes by Party]]</f>
        <v>1008</v>
      </c>
    </row>
    <row r="7" spans="1:4" x14ac:dyDescent="0.2">
      <c r="A7" s="2" t="s">
        <v>7</v>
      </c>
      <c r="B7" s="3">
        <v>1242</v>
      </c>
      <c r="C7" s="12">
        <f>GovByAssemblyDistrict65General[[#This Row],[Part of New York County Vote Results]]</f>
        <v>1242</v>
      </c>
      <c r="D7" s="14"/>
    </row>
    <row r="8" spans="1:4" x14ac:dyDescent="0.2">
      <c r="A8" s="2" t="s">
        <v>8</v>
      </c>
      <c r="B8" s="3">
        <v>445</v>
      </c>
      <c r="C8" s="12">
        <f>GovByAssemblyDistrict65General[[#This Row],[Part of New York County Vote Results]]</f>
        <v>445</v>
      </c>
      <c r="D8" s="14"/>
    </row>
    <row r="9" spans="1:4" x14ac:dyDescent="0.2">
      <c r="A9" s="2" t="s">
        <v>9</v>
      </c>
      <c r="B9" s="3">
        <v>156</v>
      </c>
      <c r="C9" s="12">
        <f>GovByAssemblyDistrict65General[[#This Row],[Part of New York County Vote Results]]</f>
        <v>156</v>
      </c>
      <c r="D9" s="14"/>
    </row>
    <row r="10" spans="1:4" x14ac:dyDescent="0.2">
      <c r="A10" s="2" t="s">
        <v>16</v>
      </c>
      <c r="B10" s="3">
        <v>52</v>
      </c>
      <c r="C10" s="12">
        <f>GovByAssemblyDistrict65General[[#This Row],[Part of New York County Vote Results]]</f>
        <v>52</v>
      </c>
      <c r="D10" s="14"/>
    </row>
    <row r="11" spans="1:4" x14ac:dyDescent="0.2">
      <c r="A11" s="2" t="s">
        <v>10</v>
      </c>
      <c r="B11" s="3">
        <v>277</v>
      </c>
      <c r="C11" s="12">
        <f>GovByAssemblyDistrict65General[[#This Row],[Part of New York County Vote Results]]</f>
        <v>277</v>
      </c>
      <c r="D11" s="13">
        <f>GovByAssemblyDistrict65General[[#This Row],[Total Votes by Party]]</f>
        <v>277</v>
      </c>
    </row>
    <row r="12" spans="1:4" x14ac:dyDescent="0.2">
      <c r="A12" s="4" t="s">
        <v>11</v>
      </c>
      <c r="B12" s="5">
        <v>264</v>
      </c>
      <c r="C12" s="12">
        <f>GovByAssemblyDistrict65General[[#This Row],[Part of New York County Vote Results]]</f>
        <v>264</v>
      </c>
      <c r="D12" s="13">
        <f>GovByAssemblyDistrict65General[[#This Row],[Total Votes by Party]]</f>
        <v>264</v>
      </c>
    </row>
    <row r="13" spans="1:4" x14ac:dyDescent="0.2">
      <c r="A13" s="4" t="s">
        <v>0</v>
      </c>
      <c r="B13" s="5">
        <v>480</v>
      </c>
      <c r="C13" s="12">
        <f>GovByAssemblyDistrict65General[[#This Row],[Part of New York County Vote Results]]</f>
        <v>480</v>
      </c>
      <c r="D13" s="14"/>
    </row>
    <row r="14" spans="1:4" x14ac:dyDescent="0.2">
      <c r="A14" s="4" t="s">
        <v>1</v>
      </c>
      <c r="B14" s="5">
        <v>0</v>
      </c>
      <c r="C14" s="12">
        <f>GovByAssemblyDistrict65General[[#This Row],[Part of New York County Vote Results]]</f>
        <v>0</v>
      </c>
      <c r="D14" s="14"/>
    </row>
    <row r="15" spans="1:4" x14ac:dyDescent="0.2">
      <c r="A15" s="4" t="s">
        <v>2</v>
      </c>
      <c r="B15" s="5">
        <v>118</v>
      </c>
      <c r="C15" s="12">
        <f>GovByAssemblyDistrict65General[[#This Row],[Part of New York County Vote Results]]</f>
        <v>118</v>
      </c>
      <c r="D15" s="14"/>
    </row>
    <row r="16" spans="1:4" hidden="1" x14ac:dyDescent="0.2">
      <c r="A16" s="4" t="s">
        <v>4</v>
      </c>
      <c r="B16" s="6">
        <f>SUBTOTAL(109,GovByAssemblyDistrict65General[Total Votes by Candidate])</f>
        <v>35261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D0265-BF0C-4526-AA65-5549427D1E4F}">
  <dimension ref="A1:D16"/>
  <sheetViews>
    <sheetView workbookViewId="0">
      <selection activeCell="B19" sqref="B19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87</v>
      </c>
    </row>
    <row r="2" spans="1:4" ht="24.95" customHeight="1" x14ac:dyDescent="0.2">
      <c r="A2" s="7" t="s">
        <v>12</v>
      </c>
      <c r="B2" s="8" t="s">
        <v>86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38557</v>
      </c>
      <c r="C3" s="12">
        <f>GovByAssemblyDistrict66General[[#This Row],[Part of New York County Vote Results]]</f>
        <v>38557</v>
      </c>
      <c r="D3" s="13">
        <f>SUM(C3,C7,C8,C9)</f>
        <v>41661</v>
      </c>
    </row>
    <row r="4" spans="1:4" x14ac:dyDescent="0.2">
      <c r="A4" s="2" t="s">
        <v>14</v>
      </c>
      <c r="B4" s="3">
        <v>4190</v>
      </c>
      <c r="C4" s="12">
        <f>GovByAssemblyDistrict66General[[#This Row],[Part of New York County Vote Results]]</f>
        <v>4190</v>
      </c>
      <c r="D4" s="13">
        <f>SUM(C4,C5,C10)</f>
        <v>4563</v>
      </c>
    </row>
    <row r="5" spans="1:4" x14ac:dyDescent="0.2">
      <c r="A5" s="2" t="s">
        <v>15</v>
      </c>
      <c r="B5" s="3">
        <v>315</v>
      </c>
      <c r="C5" s="12">
        <f>GovByAssemblyDistrict66General[[#This Row],[Part of New York County Vote Results]]</f>
        <v>315</v>
      </c>
      <c r="D5" s="14"/>
    </row>
    <row r="6" spans="1:4" x14ac:dyDescent="0.2">
      <c r="A6" s="2" t="s">
        <v>6</v>
      </c>
      <c r="B6" s="3">
        <v>1364</v>
      </c>
      <c r="C6" s="12">
        <f>GovByAssemblyDistrict66General[[#This Row],[Part of New York County Vote Results]]</f>
        <v>1364</v>
      </c>
      <c r="D6" s="13">
        <f>GovByAssemblyDistrict66General[[#This Row],[Total Votes by Party]]</f>
        <v>1364</v>
      </c>
    </row>
    <row r="7" spans="1:4" x14ac:dyDescent="0.2">
      <c r="A7" s="2" t="s">
        <v>7</v>
      </c>
      <c r="B7" s="3">
        <v>2315</v>
      </c>
      <c r="C7" s="12">
        <f>GovByAssemblyDistrict66General[[#This Row],[Part of New York County Vote Results]]</f>
        <v>2315</v>
      </c>
      <c r="D7" s="14"/>
    </row>
    <row r="8" spans="1:4" x14ac:dyDescent="0.2">
      <c r="A8" s="2" t="s">
        <v>8</v>
      </c>
      <c r="B8" s="3">
        <v>588</v>
      </c>
      <c r="C8" s="12">
        <f>GovByAssemblyDistrict66General[[#This Row],[Part of New York County Vote Results]]</f>
        <v>588</v>
      </c>
      <c r="D8" s="14"/>
    </row>
    <row r="9" spans="1:4" x14ac:dyDescent="0.2">
      <c r="A9" s="2" t="s">
        <v>9</v>
      </c>
      <c r="B9" s="3">
        <v>201</v>
      </c>
      <c r="C9" s="12">
        <f>GovByAssemblyDistrict66General[[#This Row],[Part of New York County Vote Results]]</f>
        <v>201</v>
      </c>
      <c r="D9" s="14"/>
    </row>
    <row r="10" spans="1:4" x14ac:dyDescent="0.2">
      <c r="A10" s="2" t="s">
        <v>16</v>
      </c>
      <c r="B10" s="3">
        <v>58</v>
      </c>
      <c r="C10" s="12">
        <f>GovByAssemblyDistrict66General[[#This Row],[Part of New York County Vote Results]]</f>
        <v>58</v>
      </c>
      <c r="D10" s="14"/>
    </row>
    <row r="11" spans="1:4" x14ac:dyDescent="0.2">
      <c r="A11" s="2" t="s">
        <v>10</v>
      </c>
      <c r="B11" s="3">
        <v>384</v>
      </c>
      <c r="C11" s="12">
        <f>GovByAssemblyDistrict66General[[#This Row],[Part of New York County Vote Results]]</f>
        <v>384</v>
      </c>
      <c r="D11" s="13">
        <f>GovByAssemblyDistrict66General[[#This Row],[Total Votes by Party]]</f>
        <v>384</v>
      </c>
    </row>
    <row r="12" spans="1:4" x14ac:dyDescent="0.2">
      <c r="A12" s="4" t="s">
        <v>11</v>
      </c>
      <c r="B12" s="5">
        <v>413</v>
      </c>
      <c r="C12" s="12">
        <f>GovByAssemblyDistrict66General[[#This Row],[Part of New York County Vote Results]]</f>
        <v>413</v>
      </c>
      <c r="D12" s="13">
        <f>GovByAssemblyDistrict66General[[#This Row],[Total Votes by Party]]</f>
        <v>413</v>
      </c>
    </row>
    <row r="13" spans="1:4" x14ac:dyDescent="0.2">
      <c r="A13" s="4" t="s">
        <v>0</v>
      </c>
      <c r="B13" s="5">
        <v>540</v>
      </c>
      <c r="C13" s="12">
        <f>GovByAssemblyDistrict66General[[#This Row],[Part of New York County Vote Results]]</f>
        <v>540</v>
      </c>
      <c r="D13" s="14"/>
    </row>
    <row r="14" spans="1:4" x14ac:dyDescent="0.2">
      <c r="A14" s="4" t="s">
        <v>1</v>
      </c>
      <c r="B14" s="5">
        <v>0</v>
      </c>
      <c r="C14" s="12">
        <f>GovByAssemblyDistrict66General[[#This Row],[Part of New York County Vote Results]]</f>
        <v>0</v>
      </c>
      <c r="D14" s="14"/>
    </row>
    <row r="15" spans="1:4" x14ac:dyDescent="0.2">
      <c r="A15" s="4" t="s">
        <v>2</v>
      </c>
      <c r="B15" s="5">
        <v>169</v>
      </c>
      <c r="C15" s="12">
        <f>GovByAssemblyDistrict66General[[#This Row],[Part of New York County Vote Results]]</f>
        <v>169</v>
      </c>
      <c r="D15" s="14"/>
    </row>
    <row r="16" spans="1:4" hidden="1" x14ac:dyDescent="0.2">
      <c r="A16" s="4" t="s">
        <v>4</v>
      </c>
      <c r="B16" s="6">
        <f>SUBTOTAL(109,GovByAssemblyDistrict66General[Total Votes by Candidate])</f>
        <v>48385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966AE-AB8D-4062-A0C9-CE6E41271C08}">
  <dimension ref="A1:D16"/>
  <sheetViews>
    <sheetView workbookViewId="0">
      <selection activeCell="B19" sqref="B19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88</v>
      </c>
    </row>
    <row r="2" spans="1:4" ht="24.95" customHeight="1" x14ac:dyDescent="0.2">
      <c r="A2" s="7" t="s">
        <v>12</v>
      </c>
      <c r="B2" s="8" t="s">
        <v>86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44264</v>
      </c>
      <c r="C3" s="12">
        <f>GovByAssemblyDistrict67General[[#This Row],[Part of New York County Vote Results]]</f>
        <v>44264</v>
      </c>
      <c r="D3" s="13">
        <f>SUM(C3,C7,C8,C9)</f>
        <v>46998</v>
      </c>
    </row>
    <row r="4" spans="1:4" x14ac:dyDescent="0.2">
      <c r="A4" s="2" t="s">
        <v>14</v>
      </c>
      <c r="B4" s="3">
        <v>5471</v>
      </c>
      <c r="C4" s="12">
        <f>GovByAssemblyDistrict67General[[#This Row],[Part of New York County Vote Results]]</f>
        <v>5471</v>
      </c>
      <c r="D4" s="13">
        <f>SUM(C4,C5,C10)</f>
        <v>5927</v>
      </c>
    </row>
    <row r="5" spans="1:4" x14ac:dyDescent="0.2">
      <c r="A5" s="2" t="s">
        <v>15</v>
      </c>
      <c r="B5" s="3">
        <v>406</v>
      </c>
      <c r="C5" s="12">
        <f>GovByAssemblyDistrict67General[[#This Row],[Part of New York County Vote Results]]</f>
        <v>406</v>
      </c>
      <c r="D5" s="14"/>
    </row>
    <row r="6" spans="1:4" x14ac:dyDescent="0.2">
      <c r="A6" s="2" t="s">
        <v>6</v>
      </c>
      <c r="B6" s="3">
        <v>1129</v>
      </c>
      <c r="C6" s="12">
        <f>GovByAssemblyDistrict67General[[#This Row],[Part of New York County Vote Results]]</f>
        <v>1129</v>
      </c>
      <c r="D6" s="13">
        <f>GovByAssemblyDistrict67General[[#This Row],[Total Votes by Party]]</f>
        <v>1129</v>
      </c>
    </row>
    <row r="7" spans="1:4" x14ac:dyDescent="0.2">
      <c r="A7" s="2" t="s">
        <v>7</v>
      </c>
      <c r="B7" s="3">
        <v>1878</v>
      </c>
      <c r="C7" s="12">
        <f>GovByAssemblyDistrict67General[[#This Row],[Part of New York County Vote Results]]</f>
        <v>1878</v>
      </c>
      <c r="D7" s="14"/>
    </row>
    <row r="8" spans="1:4" x14ac:dyDescent="0.2">
      <c r="A8" s="2" t="s">
        <v>8</v>
      </c>
      <c r="B8" s="3">
        <v>668</v>
      </c>
      <c r="C8" s="12">
        <f>GovByAssemblyDistrict67General[[#This Row],[Part of New York County Vote Results]]</f>
        <v>668</v>
      </c>
      <c r="D8" s="14"/>
    </row>
    <row r="9" spans="1:4" x14ac:dyDescent="0.2">
      <c r="A9" s="2" t="s">
        <v>9</v>
      </c>
      <c r="B9" s="3">
        <v>188</v>
      </c>
      <c r="C9" s="12">
        <f>GovByAssemblyDistrict67General[[#This Row],[Part of New York County Vote Results]]</f>
        <v>188</v>
      </c>
      <c r="D9" s="14"/>
    </row>
    <row r="10" spans="1:4" x14ac:dyDescent="0.2">
      <c r="A10" s="2" t="s">
        <v>16</v>
      </c>
      <c r="B10" s="3">
        <v>50</v>
      </c>
      <c r="C10" s="12">
        <f>GovByAssemblyDistrict67General[[#This Row],[Part of New York County Vote Results]]</f>
        <v>50</v>
      </c>
      <c r="D10" s="14"/>
    </row>
    <row r="11" spans="1:4" x14ac:dyDescent="0.2">
      <c r="A11" s="2" t="s">
        <v>10</v>
      </c>
      <c r="B11" s="3">
        <v>368</v>
      </c>
      <c r="C11" s="12">
        <f>GovByAssemblyDistrict67General[[#This Row],[Part of New York County Vote Results]]</f>
        <v>368</v>
      </c>
      <c r="D11" s="13">
        <f>GovByAssemblyDistrict67General[[#This Row],[Total Votes by Party]]</f>
        <v>368</v>
      </c>
    </row>
    <row r="12" spans="1:4" x14ac:dyDescent="0.2">
      <c r="A12" s="4" t="s">
        <v>11</v>
      </c>
      <c r="B12" s="5">
        <v>456</v>
      </c>
      <c r="C12" s="12">
        <f>GovByAssemblyDistrict67General[[#This Row],[Part of New York County Vote Results]]</f>
        <v>456</v>
      </c>
      <c r="D12" s="13">
        <f>GovByAssemblyDistrict67General[[#This Row],[Total Votes by Party]]</f>
        <v>456</v>
      </c>
    </row>
    <row r="13" spans="1:4" x14ac:dyDescent="0.2">
      <c r="A13" s="4" t="s">
        <v>0</v>
      </c>
      <c r="B13" s="5">
        <v>600</v>
      </c>
      <c r="C13" s="12">
        <f>GovByAssemblyDistrict67General[[#This Row],[Part of New York County Vote Results]]</f>
        <v>600</v>
      </c>
      <c r="D13" s="14"/>
    </row>
    <row r="14" spans="1:4" x14ac:dyDescent="0.2">
      <c r="A14" s="4" t="s">
        <v>1</v>
      </c>
      <c r="B14" s="5">
        <v>0</v>
      </c>
      <c r="C14" s="12">
        <f>GovByAssemblyDistrict67General[[#This Row],[Part of New York County Vote Results]]</f>
        <v>0</v>
      </c>
      <c r="D14" s="14"/>
    </row>
    <row r="15" spans="1:4" x14ac:dyDescent="0.2">
      <c r="A15" s="4" t="s">
        <v>2</v>
      </c>
      <c r="B15" s="5">
        <v>159</v>
      </c>
      <c r="C15" s="12">
        <f>GovByAssemblyDistrict67General[[#This Row],[Part of New York County Vote Results]]</f>
        <v>159</v>
      </c>
      <c r="D15" s="14"/>
    </row>
    <row r="16" spans="1:4" hidden="1" x14ac:dyDescent="0.2">
      <c r="A16" s="4" t="s">
        <v>4</v>
      </c>
      <c r="B16" s="6">
        <f>SUBTOTAL(109,GovByAssemblyDistrict67General[Total Votes by Candidate])</f>
        <v>54878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ED346-7B94-406A-95FB-A6E9A213DB31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89</v>
      </c>
    </row>
    <row r="2" spans="1:4" ht="24.95" customHeight="1" x14ac:dyDescent="0.2">
      <c r="A2" s="7" t="s">
        <v>12</v>
      </c>
      <c r="B2" s="8" t="s">
        <v>86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31413</v>
      </c>
      <c r="C3" s="12">
        <f>GovByAssemblyDistrict68General[[#This Row],[Part of New York County Vote Results]]</f>
        <v>31413</v>
      </c>
      <c r="D3" s="13">
        <f>SUM(C3,C7,C8,C9)</f>
        <v>32711</v>
      </c>
    </row>
    <row r="4" spans="1:4" x14ac:dyDescent="0.2">
      <c r="A4" s="2" t="s">
        <v>14</v>
      </c>
      <c r="B4" s="3">
        <v>1930</v>
      </c>
      <c r="C4" s="12">
        <f>GovByAssemblyDistrict68General[[#This Row],[Part of New York County Vote Results]]</f>
        <v>1930</v>
      </c>
      <c r="D4" s="13">
        <f>SUM(C4,C5,C10)</f>
        <v>2117</v>
      </c>
    </row>
    <row r="5" spans="1:4" x14ac:dyDescent="0.2">
      <c r="A5" s="2" t="s">
        <v>15</v>
      </c>
      <c r="B5" s="3">
        <v>164</v>
      </c>
      <c r="C5" s="12">
        <f>GovByAssemblyDistrict68General[[#This Row],[Part of New York County Vote Results]]</f>
        <v>164</v>
      </c>
      <c r="D5" s="14"/>
    </row>
    <row r="6" spans="1:4" x14ac:dyDescent="0.2">
      <c r="A6" s="2" t="s">
        <v>6</v>
      </c>
      <c r="B6" s="3">
        <v>681</v>
      </c>
      <c r="C6" s="12">
        <f>GovByAssemblyDistrict68General[[#This Row],[Part of New York County Vote Results]]</f>
        <v>681</v>
      </c>
      <c r="D6" s="13">
        <f>GovByAssemblyDistrict68General[[#This Row],[Total Votes by Party]]</f>
        <v>681</v>
      </c>
    </row>
    <row r="7" spans="1:4" x14ac:dyDescent="0.2">
      <c r="A7" s="2" t="s">
        <v>7</v>
      </c>
      <c r="B7" s="3">
        <v>815</v>
      </c>
      <c r="C7" s="12">
        <f>GovByAssemblyDistrict68General[[#This Row],[Part of New York County Vote Results]]</f>
        <v>815</v>
      </c>
      <c r="D7" s="14"/>
    </row>
    <row r="8" spans="1:4" x14ac:dyDescent="0.2">
      <c r="A8" s="2" t="s">
        <v>8</v>
      </c>
      <c r="B8" s="3">
        <v>364</v>
      </c>
      <c r="C8" s="12">
        <f>GovByAssemblyDistrict68General[[#This Row],[Part of New York County Vote Results]]</f>
        <v>364</v>
      </c>
      <c r="D8" s="14"/>
    </row>
    <row r="9" spans="1:4" x14ac:dyDescent="0.2">
      <c r="A9" s="2" t="s">
        <v>9</v>
      </c>
      <c r="B9" s="3">
        <v>119</v>
      </c>
      <c r="C9" s="12">
        <f>GovByAssemblyDistrict68General[[#This Row],[Part of New York County Vote Results]]</f>
        <v>119</v>
      </c>
      <c r="D9" s="14"/>
    </row>
    <row r="10" spans="1:4" x14ac:dyDescent="0.2">
      <c r="A10" s="2" t="s">
        <v>16</v>
      </c>
      <c r="B10" s="3">
        <v>23</v>
      </c>
      <c r="C10" s="12">
        <f>GovByAssemblyDistrict68General[[#This Row],[Part of New York County Vote Results]]</f>
        <v>23</v>
      </c>
      <c r="D10" s="14"/>
    </row>
    <row r="11" spans="1:4" x14ac:dyDescent="0.2">
      <c r="A11" s="2" t="s">
        <v>10</v>
      </c>
      <c r="B11" s="3">
        <v>190</v>
      </c>
      <c r="C11" s="12">
        <f>GovByAssemblyDistrict68General[[#This Row],[Part of New York County Vote Results]]</f>
        <v>190</v>
      </c>
      <c r="D11" s="13">
        <f>GovByAssemblyDistrict68General[[#This Row],[Total Votes by Party]]</f>
        <v>190</v>
      </c>
    </row>
    <row r="12" spans="1:4" x14ac:dyDescent="0.2">
      <c r="A12" s="4" t="s">
        <v>11</v>
      </c>
      <c r="B12" s="5">
        <v>177</v>
      </c>
      <c r="C12" s="12">
        <f>GovByAssemblyDistrict68General[[#This Row],[Part of New York County Vote Results]]</f>
        <v>177</v>
      </c>
      <c r="D12" s="13">
        <f>GovByAssemblyDistrict68General[[#This Row],[Total Votes by Party]]</f>
        <v>177</v>
      </c>
    </row>
    <row r="13" spans="1:4" x14ac:dyDescent="0.2">
      <c r="A13" s="4" t="s">
        <v>0</v>
      </c>
      <c r="B13" s="5">
        <v>372</v>
      </c>
      <c r="C13" s="12">
        <f>GovByAssemblyDistrict68General[[#This Row],[Part of New York County Vote Results]]</f>
        <v>372</v>
      </c>
      <c r="D13" s="14"/>
    </row>
    <row r="14" spans="1:4" x14ac:dyDescent="0.2">
      <c r="A14" s="4" t="s">
        <v>1</v>
      </c>
      <c r="B14" s="5">
        <v>0</v>
      </c>
      <c r="C14" s="12">
        <f>GovByAssemblyDistrict68General[[#This Row],[Part of New York County Vote Results]]</f>
        <v>0</v>
      </c>
      <c r="D14" s="14"/>
    </row>
    <row r="15" spans="1:4" x14ac:dyDescent="0.2">
      <c r="A15" s="4" t="s">
        <v>2</v>
      </c>
      <c r="B15" s="5">
        <v>79</v>
      </c>
      <c r="C15" s="12">
        <f>GovByAssemblyDistrict68General[[#This Row],[Part of New York County Vote Results]]</f>
        <v>79</v>
      </c>
      <c r="D15" s="14"/>
    </row>
    <row r="16" spans="1:4" hidden="1" x14ac:dyDescent="0.2">
      <c r="A16" s="4" t="s">
        <v>4</v>
      </c>
      <c r="B16" s="6">
        <f>SUBTOTAL(109,GovByAssemblyDistrict68General[Total Votes by Candidate])</f>
        <v>35876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5D98A-1CDB-4251-B383-D13016D33209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90</v>
      </c>
    </row>
    <row r="2" spans="1:4" ht="24.95" customHeight="1" x14ac:dyDescent="0.2">
      <c r="A2" s="7" t="s">
        <v>12</v>
      </c>
      <c r="B2" s="8" t="s">
        <v>86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40783</v>
      </c>
      <c r="C3" s="12">
        <f>GovByAssemblyDistrict69General[[#This Row],[Part of New York County Vote Results]]</f>
        <v>40783</v>
      </c>
      <c r="D3" s="13">
        <f>SUM(C3,C7,C8,C9)</f>
        <v>44410</v>
      </c>
    </row>
    <row r="4" spans="1:4" x14ac:dyDescent="0.2">
      <c r="A4" s="2" t="s">
        <v>14</v>
      </c>
      <c r="B4" s="3">
        <v>3036</v>
      </c>
      <c r="C4" s="12">
        <f>GovByAssemblyDistrict69General[[#This Row],[Part of New York County Vote Results]]</f>
        <v>3036</v>
      </c>
      <c r="D4" s="13">
        <f>SUM(C4,C5,C10)</f>
        <v>3360</v>
      </c>
    </row>
    <row r="5" spans="1:4" x14ac:dyDescent="0.2">
      <c r="A5" s="2" t="s">
        <v>15</v>
      </c>
      <c r="B5" s="3">
        <v>260</v>
      </c>
      <c r="C5" s="12">
        <f>GovByAssemblyDistrict69General[[#This Row],[Part of New York County Vote Results]]</f>
        <v>260</v>
      </c>
      <c r="D5" s="14"/>
    </row>
    <row r="6" spans="1:4" x14ac:dyDescent="0.2">
      <c r="A6" s="2" t="s">
        <v>6</v>
      </c>
      <c r="B6" s="3">
        <v>1388</v>
      </c>
      <c r="C6" s="12">
        <f>GovByAssemblyDistrict69General[[#This Row],[Part of New York County Vote Results]]</f>
        <v>1388</v>
      </c>
      <c r="D6" s="13">
        <f>GovByAssemblyDistrict69General[[#This Row],[Total Votes by Party]]</f>
        <v>1388</v>
      </c>
    </row>
    <row r="7" spans="1:4" x14ac:dyDescent="0.2">
      <c r="A7" s="2" t="s">
        <v>7</v>
      </c>
      <c r="B7" s="3">
        <v>2937</v>
      </c>
      <c r="C7" s="12">
        <f>GovByAssemblyDistrict69General[[#This Row],[Part of New York County Vote Results]]</f>
        <v>2937</v>
      </c>
      <c r="D7" s="14"/>
    </row>
    <row r="8" spans="1:4" x14ac:dyDescent="0.2">
      <c r="A8" s="2" t="s">
        <v>8</v>
      </c>
      <c r="B8" s="3">
        <v>496</v>
      </c>
      <c r="C8" s="12">
        <f>GovByAssemblyDistrict69General[[#This Row],[Part of New York County Vote Results]]</f>
        <v>496</v>
      </c>
      <c r="D8" s="14"/>
    </row>
    <row r="9" spans="1:4" x14ac:dyDescent="0.2">
      <c r="A9" s="2" t="s">
        <v>9</v>
      </c>
      <c r="B9" s="3">
        <v>194</v>
      </c>
      <c r="C9" s="12">
        <f>GovByAssemblyDistrict69General[[#This Row],[Part of New York County Vote Results]]</f>
        <v>194</v>
      </c>
      <c r="D9" s="14"/>
    </row>
    <row r="10" spans="1:4" x14ac:dyDescent="0.2">
      <c r="A10" s="2" t="s">
        <v>16</v>
      </c>
      <c r="B10" s="3">
        <v>64</v>
      </c>
      <c r="C10" s="12">
        <f>GovByAssemblyDistrict69General[[#This Row],[Part of New York County Vote Results]]</f>
        <v>64</v>
      </c>
      <c r="D10" s="14"/>
    </row>
    <row r="11" spans="1:4" x14ac:dyDescent="0.2">
      <c r="A11" s="2" t="s">
        <v>10</v>
      </c>
      <c r="B11" s="3">
        <v>267</v>
      </c>
      <c r="C11" s="12">
        <f>GovByAssemblyDistrict69General[[#This Row],[Part of New York County Vote Results]]</f>
        <v>267</v>
      </c>
      <c r="D11" s="13">
        <f>GovByAssemblyDistrict69General[[#This Row],[Total Votes by Party]]</f>
        <v>267</v>
      </c>
    </row>
    <row r="12" spans="1:4" x14ac:dyDescent="0.2">
      <c r="A12" s="4" t="s">
        <v>11</v>
      </c>
      <c r="B12" s="5">
        <v>442</v>
      </c>
      <c r="C12" s="12">
        <f>GovByAssemblyDistrict69General[[#This Row],[Part of New York County Vote Results]]</f>
        <v>442</v>
      </c>
      <c r="D12" s="13">
        <f>GovByAssemblyDistrict69General[[#This Row],[Total Votes by Party]]</f>
        <v>442</v>
      </c>
    </row>
    <row r="13" spans="1:4" x14ac:dyDescent="0.2">
      <c r="A13" s="4" t="s">
        <v>0</v>
      </c>
      <c r="B13" s="5">
        <v>723</v>
      </c>
      <c r="C13" s="12">
        <f>GovByAssemblyDistrict69General[[#This Row],[Part of New York County Vote Results]]</f>
        <v>723</v>
      </c>
      <c r="D13" s="14"/>
    </row>
    <row r="14" spans="1:4" x14ac:dyDescent="0.2">
      <c r="A14" s="4" t="s">
        <v>1</v>
      </c>
      <c r="B14" s="5">
        <v>0</v>
      </c>
      <c r="C14" s="12">
        <f>GovByAssemblyDistrict69General[[#This Row],[Part of New York County Vote Results]]</f>
        <v>0</v>
      </c>
      <c r="D14" s="14"/>
    </row>
    <row r="15" spans="1:4" x14ac:dyDescent="0.2">
      <c r="A15" s="4" t="s">
        <v>2</v>
      </c>
      <c r="B15" s="5">
        <v>163</v>
      </c>
      <c r="C15" s="12">
        <f>GovByAssemblyDistrict69General[[#This Row],[Part of New York County Vote Results]]</f>
        <v>163</v>
      </c>
      <c r="D15" s="14"/>
    </row>
    <row r="16" spans="1:4" hidden="1" x14ac:dyDescent="0.2">
      <c r="A16" s="4" t="s">
        <v>4</v>
      </c>
      <c r="B16" s="6">
        <f>SUBTOTAL(109,GovByAssemblyDistrict69General[Total Votes by Candidate])</f>
        <v>49867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5C0BC-306B-49B5-960E-A7735F11CC6B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24</v>
      </c>
    </row>
    <row r="2" spans="1:4" ht="24.95" customHeight="1" x14ac:dyDescent="0.2">
      <c r="A2" s="7" t="s">
        <v>12</v>
      </c>
      <c r="B2" s="8" t="s">
        <v>13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21357</v>
      </c>
      <c r="C3" s="12">
        <f>GovByAssemblyDistrict7General[[#This Row],[Part of Suffolk County Vote Results]]</f>
        <v>21357</v>
      </c>
      <c r="D3" s="13">
        <f>SUM(C3,C7,C8,C9)</f>
        <v>22906</v>
      </c>
    </row>
    <row r="4" spans="1:4" x14ac:dyDescent="0.2">
      <c r="A4" s="2" t="s">
        <v>14</v>
      </c>
      <c r="B4" s="3">
        <v>22913</v>
      </c>
      <c r="C4" s="12">
        <f>GovByAssemblyDistrict7General[[#This Row],[Part of Suffolk County Vote Results]]</f>
        <v>22913</v>
      </c>
      <c r="D4" s="13">
        <f>SUM(C4,C5,C10)</f>
        <v>26131</v>
      </c>
    </row>
    <row r="5" spans="1:4" x14ac:dyDescent="0.2">
      <c r="A5" s="2" t="s">
        <v>15</v>
      </c>
      <c r="B5" s="3">
        <v>3045</v>
      </c>
      <c r="C5" s="12">
        <f>GovByAssemblyDistrict7General[[#This Row],[Part of Suffolk County Vote Results]]</f>
        <v>3045</v>
      </c>
      <c r="D5" s="14"/>
    </row>
    <row r="6" spans="1:4" x14ac:dyDescent="0.2">
      <c r="A6" s="2" t="s">
        <v>6</v>
      </c>
      <c r="B6" s="3">
        <v>567</v>
      </c>
      <c r="C6" s="12">
        <f>GovByAssemblyDistrict7General[[#This Row],[Part of Suffolk County Vote Results]]</f>
        <v>567</v>
      </c>
      <c r="D6" s="13">
        <f>GovByAssemblyDistrict7General[[#This Row],[Total Votes by Party]]</f>
        <v>567</v>
      </c>
    </row>
    <row r="7" spans="1:4" x14ac:dyDescent="0.2">
      <c r="A7" s="2" t="s">
        <v>7</v>
      </c>
      <c r="B7" s="3">
        <v>584</v>
      </c>
      <c r="C7" s="12">
        <f>GovByAssemblyDistrict7General[[#This Row],[Part of Suffolk County Vote Results]]</f>
        <v>584</v>
      </c>
      <c r="D7" s="14"/>
    </row>
    <row r="8" spans="1:4" x14ac:dyDescent="0.2">
      <c r="A8" s="2" t="s">
        <v>8</v>
      </c>
      <c r="B8" s="3">
        <v>627</v>
      </c>
      <c r="C8" s="12">
        <f>GovByAssemblyDistrict7General[[#This Row],[Part of Suffolk County Vote Results]]</f>
        <v>627</v>
      </c>
      <c r="D8" s="14"/>
    </row>
    <row r="9" spans="1:4" x14ac:dyDescent="0.2">
      <c r="A9" s="2" t="s">
        <v>9</v>
      </c>
      <c r="B9" s="3">
        <v>338</v>
      </c>
      <c r="C9" s="12">
        <f>GovByAssemblyDistrict7General[[#This Row],[Part of Suffolk County Vote Results]]</f>
        <v>338</v>
      </c>
      <c r="D9" s="14"/>
    </row>
    <row r="10" spans="1:4" x14ac:dyDescent="0.2">
      <c r="A10" s="2" t="s">
        <v>16</v>
      </c>
      <c r="B10" s="3">
        <v>173</v>
      </c>
      <c r="C10" s="12">
        <f>GovByAssemblyDistrict7General[[#This Row],[Part of Suffolk County Vote Results]]</f>
        <v>173</v>
      </c>
      <c r="D10" s="14"/>
    </row>
    <row r="11" spans="1:4" x14ac:dyDescent="0.2">
      <c r="A11" s="2" t="s">
        <v>10</v>
      </c>
      <c r="B11" s="3">
        <v>451</v>
      </c>
      <c r="C11" s="12">
        <f>GovByAssemblyDistrict7General[[#This Row],[Part of Suffolk County Vote Results]]</f>
        <v>451</v>
      </c>
      <c r="D11" s="13">
        <f>GovByAssemblyDistrict7General[[#This Row],[Total Votes by Party]]</f>
        <v>451</v>
      </c>
    </row>
    <row r="12" spans="1:4" x14ac:dyDescent="0.2">
      <c r="A12" s="4" t="s">
        <v>11</v>
      </c>
      <c r="B12" s="5">
        <v>313</v>
      </c>
      <c r="C12" s="12">
        <f>GovByAssemblyDistrict7General[[#This Row],[Part of Suffolk County Vote Results]]</f>
        <v>313</v>
      </c>
      <c r="D12" s="13">
        <f>GovByAssemblyDistrict7General[[#This Row],[Total Votes by Party]]</f>
        <v>313</v>
      </c>
    </row>
    <row r="13" spans="1:4" x14ac:dyDescent="0.2">
      <c r="A13" s="4" t="s">
        <v>0</v>
      </c>
      <c r="B13" s="5">
        <v>772</v>
      </c>
      <c r="C13" s="12">
        <f>GovByAssemblyDistrict7General[[#This Row],[Part of Suffolk County Vote Results]]</f>
        <v>772</v>
      </c>
      <c r="D13" s="14"/>
    </row>
    <row r="14" spans="1:4" x14ac:dyDescent="0.2">
      <c r="A14" s="4" t="s">
        <v>1</v>
      </c>
      <c r="B14" s="5">
        <v>42</v>
      </c>
      <c r="C14" s="12">
        <f>GovByAssemblyDistrict7General[[#This Row],[Part of Suffolk County Vote Results]]</f>
        <v>42</v>
      </c>
      <c r="D14" s="14"/>
    </row>
    <row r="15" spans="1:4" x14ac:dyDescent="0.2">
      <c r="A15" s="4" t="s">
        <v>2</v>
      </c>
      <c r="B15" s="5">
        <v>17</v>
      </c>
      <c r="C15" s="12">
        <f>GovByAssemblyDistrict7General[[#This Row],[Part of Suffolk County Vote Results]]</f>
        <v>17</v>
      </c>
      <c r="D15" s="14"/>
    </row>
    <row r="16" spans="1:4" hidden="1" x14ac:dyDescent="0.2">
      <c r="A16" s="4" t="s">
        <v>4</v>
      </c>
      <c r="B16" s="6">
        <f>SUBTOTAL(109,GovByAssemblyDistrict7General[Total Votes by Candidate])</f>
        <v>50368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6DF7F-9A49-4310-8FE4-8ED93CB97A6F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91</v>
      </c>
    </row>
    <row r="2" spans="1:4" ht="24.95" customHeight="1" x14ac:dyDescent="0.2">
      <c r="A2" s="7" t="s">
        <v>12</v>
      </c>
      <c r="B2" s="8" t="s">
        <v>86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39115</v>
      </c>
      <c r="C3" s="12">
        <f>GovByAssemblyDistrict70General[[#This Row],[Part of New York County Vote Results]]</f>
        <v>39115</v>
      </c>
      <c r="D3" s="13">
        <f>SUM(C3,C7,C8,C9)</f>
        <v>41305</v>
      </c>
    </row>
    <row r="4" spans="1:4" x14ac:dyDescent="0.2">
      <c r="A4" s="2" t="s">
        <v>14</v>
      </c>
      <c r="B4" s="3">
        <v>1078</v>
      </c>
      <c r="C4" s="12">
        <f>GovByAssemblyDistrict70General[[#This Row],[Part of New York County Vote Results]]</f>
        <v>1078</v>
      </c>
      <c r="D4" s="13">
        <f>SUM(C4,C5,C10)</f>
        <v>1238</v>
      </c>
    </row>
    <row r="5" spans="1:4" x14ac:dyDescent="0.2">
      <c r="A5" s="2" t="s">
        <v>15</v>
      </c>
      <c r="B5" s="3">
        <v>116</v>
      </c>
      <c r="C5" s="12">
        <f>GovByAssemblyDistrict70General[[#This Row],[Part of New York County Vote Results]]</f>
        <v>116</v>
      </c>
      <c r="D5" s="14"/>
    </row>
    <row r="6" spans="1:4" x14ac:dyDescent="0.2">
      <c r="A6" s="2" t="s">
        <v>6</v>
      </c>
      <c r="B6" s="3">
        <v>1024</v>
      </c>
      <c r="C6" s="12">
        <f>GovByAssemblyDistrict70General[[#This Row],[Part of New York County Vote Results]]</f>
        <v>1024</v>
      </c>
      <c r="D6" s="13">
        <f>GovByAssemblyDistrict70General[[#This Row],[Total Votes by Party]]</f>
        <v>1024</v>
      </c>
    </row>
    <row r="7" spans="1:4" x14ac:dyDescent="0.2">
      <c r="A7" s="2" t="s">
        <v>7</v>
      </c>
      <c r="B7" s="3">
        <v>1550</v>
      </c>
      <c r="C7" s="12">
        <f>GovByAssemblyDistrict70General[[#This Row],[Part of New York County Vote Results]]</f>
        <v>1550</v>
      </c>
      <c r="D7" s="14"/>
    </row>
    <row r="8" spans="1:4" x14ac:dyDescent="0.2">
      <c r="A8" s="2" t="s">
        <v>8</v>
      </c>
      <c r="B8" s="3">
        <v>494</v>
      </c>
      <c r="C8" s="12">
        <f>GovByAssemblyDistrict70General[[#This Row],[Part of New York County Vote Results]]</f>
        <v>494</v>
      </c>
      <c r="D8" s="14"/>
    </row>
    <row r="9" spans="1:4" x14ac:dyDescent="0.2">
      <c r="A9" s="2" t="s">
        <v>9</v>
      </c>
      <c r="B9" s="3">
        <v>146</v>
      </c>
      <c r="C9" s="12">
        <f>GovByAssemblyDistrict70General[[#This Row],[Part of New York County Vote Results]]</f>
        <v>146</v>
      </c>
      <c r="D9" s="14"/>
    </row>
    <row r="10" spans="1:4" x14ac:dyDescent="0.2">
      <c r="A10" s="2" t="s">
        <v>16</v>
      </c>
      <c r="B10" s="3">
        <v>44</v>
      </c>
      <c r="C10" s="12">
        <f>GovByAssemblyDistrict70General[[#This Row],[Part of New York County Vote Results]]</f>
        <v>44</v>
      </c>
      <c r="D10" s="14"/>
    </row>
    <row r="11" spans="1:4" x14ac:dyDescent="0.2">
      <c r="A11" s="2" t="s">
        <v>10</v>
      </c>
      <c r="B11" s="3">
        <v>222</v>
      </c>
      <c r="C11" s="12">
        <f>GovByAssemblyDistrict70General[[#This Row],[Part of New York County Vote Results]]</f>
        <v>222</v>
      </c>
      <c r="D11" s="13">
        <f>GovByAssemblyDistrict70General[[#This Row],[Total Votes by Party]]</f>
        <v>222</v>
      </c>
    </row>
    <row r="12" spans="1:4" x14ac:dyDescent="0.2">
      <c r="A12" s="4" t="s">
        <v>11</v>
      </c>
      <c r="B12" s="5">
        <v>240</v>
      </c>
      <c r="C12" s="12">
        <f>GovByAssemblyDistrict70General[[#This Row],[Part of New York County Vote Results]]</f>
        <v>240</v>
      </c>
      <c r="D12" s="13">
        <f>GovByAssemblyDistrict70General[[#This Row],[Total Votes by Party]]</f>
        <v>240</v>
      </c>
    </row>
    <row r="13" spans="1:4" x14ac:dyDescent="0.2">
      <c r="A13" s="4" t="s">
        <v>0</v>
      </c>
      <c r="B13" s="5">
        <v>442</v>
      </c>
      <c r="C13" s="12">
        <f>GovByAssemblyDistrict70General[[#This Row],[Part of New York County Vote Results]]</f>
        <v>442</v>
      </c>
      <c r="D13" s="14"/>
    </row>
    <row r="14" spans="1:4" x14ac:dyDescent="0.2">
      <c r="A14" s="4" t="s">
        <v>1</v>
      </c>
      <c r="B14" s="5">
        <v>0</v>
      </c>
      <c r="C14" s="12">
        <f>GovByAssemblyDistrict70General[[#This Row],[Part of New York County Vote Results]]</f>
        <v>0</v>
      </c>
      <c r="D14" s="14"/>
    </row>
    <row r="15" spans="1:4" x14ac:dyDescent="0.2">
      <c r="A15" s="4" t="s">
        <v>2</v>
      </c>
      <c r="B15" s="5">
        <v>146</v>
      </c>
      <c r="C15" s="12">
        <f>GovByAssemblyDistrict70General[[#This Row],[Part of New York County Vote Results]]</f>
        <v>146</v>
      </c>
      <c r="D15" s="14"/>
    </row>
    <row r="16" spans="1:4" hidden="1" x14ac:dyDescent="0.2">
      <c r="A16" s="4" t="s">
        <v>4</v>
      </c>
      <c r="B16" s="6">
        <f>SUBTOTAL(109,GovByAssemblyDistrict70General[Total Votes by Candidate])</f>
        <v>44029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F7151-73E4-4DEB-B318-D9B8C445B0C4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92</v>
      </c>
    </row>
    <row r="2" spans="1:4" ht="24.95" customHeight="1" x14ac:dyDescent="0.2">
      <c r="A2" s="7" t="s">
        <v>12</v>
      </c>
      <c r="B2" s="8" t="s">
        <v>86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36795</v>
      </c>
      <c r="C3" s="12">
        <f>GovByAssemblyDistrict71General[[#This Row],[Part of New York County Vote Results]]</f>
        <v>36795</v>
      </c>
      <c r="D3" s="13">
        <f>SUM(C3,C7,C8,C9)</f>
        <v>39049</v>
      </c>
    </row>
    <row r="4" spans="1:4" x14ac:dyDescent="0.2">
      <c r="A4" s="2" t="s">
        <v>14</v>
      </c>
      <c r="B4" s="3">
        <v>1563</v>
      </c>
      <c r="C4" s="12">
        <f>GovByAssemblyDistrict71General[[#This Row],[Part of New York County Vote Results]]</f>
        <v>1563</v>
      </c>
      <c r="D4" s="13">
        <f>SUM(C4,C5,C10)</f>
        <v>1755</v>
      </c>
    </row>
    <row r="5" spans="1:4" x14ac:dyDescent="0.2">
      <c r="A5" s="2" t="s">
        <v>15</v>
      </c>
      <c r="B5" s="3">
        <v>158</v>
      </c>
      <c r="C5" s="12">
        <f>GovByAssemblyDistrict71General[[#This Row],[Part of New York County Vote Results]]</f>
        <v>158</v>
      </c>
      <c r="D5" s="14"/>
    </row>
    <row r="6" spans="1:4" x14ac:dyDescent="0.2">
      <c r="A6" s="2" t="s">
        <v>6</v>
      </c>
      <c r="B6" s="3">
        <v>1079</v>
      </c>
      <c r="C6" s="12">
        <f>GovByAssemblyDistrict71General[[#This Row],[Part of New York County Vote Results]]</f>
        <v>1079</v>
      </c>
      <c r="D6" s="13">
        <f>GovByAssemblyDistrict71General[[#This Row],[Total Votes by Party]]</f>
        <v>1079</v>
      </c>
    </row>
    <row r="7" spans="1:4" x14ac:dyDescent="0.2">
      <c r="A7" s="2" t="s">
        <v>7</v>
      </c>
      <c r="B7" s="3">
        <v>1722</v>
      </c>
      <c r="C7" s="12">
        <f>GovByAssemblyDistrict71General[[#This Row],[Part of New York County Vote Results]]</f>
        <v>1722</v>
      </c>
      <c r="D7" s="14"/>
    </row>
    <row r="8" spans="1:4" x14ac:dyDescent="0.2">
      <c r="A8" s="2" t="s">
        <v>8</v>
      </c>
      <c r="B8" s="3">
        <v>382</v>
      </c>
      <c r="C8" s="12">
        <f>GovByAssemblyDistrict71General[[#This Row],[Part of New York County Vote Results]]</f>
        <v>382</v>
      </c>
      <c r="D8" s="14"/>
    </row>
    <row r="9" spans="1:4" x14ac:dyDescent="0.2">
      <c r="A9" s="2" t="s">
        <v>9</v>
      </c>
      <c r="B9" s="3">
        <v>150</v>
      </c>
      <c r="C9" s="12">
        <f>GovByAssemblyDistrict71General[[#This Row],[Part of New York County Vote Results]]</f>
        <v>150</v>
      </c>
      <c r="D9" s="14"/>
    </row>
    <row r="10" spans="1:4" x14ac:dyDescent="0.2">
      <c r="A10" s="2" t="s">
        <v>16</v>
      </c>
      <c r="B10" s="3">
        <v>34</v>
      </c>
      <c r="C10" s="12">
        <f>GovByAssemblyDistrict71General[[#This Row],[Part of New York County Vote Results]]</f>
        <v>34</v>
      </c>
      <c r="D10" s="14"/>
    </row>
    <row r="11" spans="1:4" x14ac:dyDescent="0.2">
      <c r="A11" s="2" t="s">
        <v>10</v>
      </c>
      <c r="B11" s="3">
        <v>238</v>
      </c>
      <c r="C11" s="12">
        <f>GovByAssemblyDistrict71General[[#This Row],[Part of New York County Vote Results]]</f>
        <v>238</v>
      </c>
      <c r="D11" s="13">
        <f>GovByAssemblyDistrict71General[[#This Row],[Total Votes by Party]]</f>
        <v>238</v>
      </c>
    </row>
    <row r="12" spans="1:4" x14ac:dyDescent="0.2">
      <c r="A12" s="4" t="s">
        <v>11</v>
      </c>
      <c r="B12" s="5">
        <v>237</v>
      </c>
      <c r="C12" s="12">
        <f>GovByAssemblyDistrict71General[[#This Row],[Part of New York County Vote Results]]</f>
        <v>237</v>
      </c>
      <c r="D12" s="13">
        <f>GovByAssemblyDistrict71General[[#This Row],[Total Votes by Party]]</f>
        <v>237</v>
      </c>
    </row>
    <row r="13" spans="1:4" x14ac:dyDescent="0.2">
      <c r="A13" s="4" t="s">
        <v>0</v>
      </c>
      <c r="B13" s="5">
        <v>416</v>
      </c>
      <c r="C13" s="12">
        <f>GovByAssemblyDistrict71General[[#This Row],[Part of New York County Vote Results]]</f>
        <v>416</v>
      </c>
      <c r="D13" s="14"/>
    </row>
    <row r="14" spans="1:4" x14ac:dyDescent="0.2">
      <c r="A14" s="4" t="s">
        <v>1</v>
      </c>
      <c r="B14" s="5">
        <v>0</v>
      </c>
      <c r="C14" s="12">
        <f>GovByAssemblyDistrict71General[[#This Row],[Part of New York County Vote Results]]</f>
        <v>0</v>
      </c>
      <c r="D14" s="14"/>
    </row>
    <row r="15" spans="1:4" x14ac:dyDescent="0.2">
      <c r="A15" s="4" t="s">
        <v>2</v>
      </c>
      <c r="B15" s="5">
        <v>130</v>
      </c>
      <c r="C15" s="12">
        <f>GovByAssemblyDistrict71General[[#This Row],[Part of New York County Vote Results]]</f>
        <v>130</v>
      </c>
      <c r="D15" s="14"/>
    </row>
    <row r="16" spans="1:4" hidden="1" x14ac:dyDescent="0.2">
      <c r="A16" s="4" t="s">
        <v>4</v>
      </c>
      <c r="B16" s="6">
        <f>SUBTOTAL(109,GovByAssemblyDistrict71General[Total Votes by Candidate])</f>
        <v>42358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728E1-0286-43EA-8CF6-7B9DE6265080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93</v>
      </c>
    </row>
    <row r="2" spans="1:4" ht="24.95" customHeight="1" x14ac:dyDescent="0.2">
      <c r="A2" s="7" t="s">
        <v>12</v>
      </c>
      <c r="B2" s="8" t="s">
        <v>86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29458</v>
      </c>
      <c r="C3" s="12">
        <f>GovByAssemblyDistrict72General[[#This Row],[Part of New York County Vote Results]]</f>
        <v>29458</v>
      </c>
      <c r="D3" s="13">
        <f>SUM(C3,C7,C8,C9)</f>
        <v>31117</v>
      </c>
    </row>
    <row r="4" spans="1:4" x14ac:dyDescent="0.2">
      <c r="A4" s="2" t="s">
        <v>14</v>
      </c>
      <c r="B4" s="3">
        <v>1714</v>
      </c>
      <c r="C4" s="12">
        <f>GovByAssemblyDistrict72General[[#This Row],[Part of New York County Vote Results]]</f>
        <v>1714</v>
      </c>
      <c r="D4" s="13">
        <f>SUM(C4,C5,C10)</f>
        <v>1894</v>
      </c>
    </row>
    <row r="5" spans="1:4" x14ac:dyDescent="0.2">
      <c r="A5" s="2" t="s">
        <v>15</v>
      </c>
      <c r="B5" s="3">
        <v>144</v>
      </c>
      <c r="C5" s="12">
        <f>GovByAssemblyDistrict72General[[#This Row],[Part of New York County Vote Results]]</f>
        <v>144</v>
      </c>
      <c r="D5" s="14"/>
    </row>
    <row r="6" spans="1:4" x14ac:dyDescent="0.2">
      <c r="A6" s="2" t="s">
        <v>6</v>
      </c>
      <c r="B6" s="3">
        <v>884</v>
      </c>
      <c r="C6" s="12">
        <f>GovByAssemblyDistrict72General[[#This Row],[Part of New York County Vote Results]]</f>
        <v>884</v>
      </c>
      <c r="D6" s="13">
        <f>GovByAssemblyDistrict72General[[#This Row],[Total Votes by Party]]</f>
        <v>884</v>
      </c>
    </row>
    <row r="7" spans="1:4" x14ac:dyDescent="0.2">
      <c r="A7" s="2" t="s">
        <v>7</v>
      </c>
      <c r="B7" s="3">
        <v>1281</v>
      </c>
      <c r="C7" s="12">
        <f>GovByAssemblyDistrict72General[[#This Row],[Part of New York County Vote Results]]</f>
        <v>1281</v>
      </c>
      <c r="D7" s="14"/>
    </row>
    <row r="8" spans="1:4" x14ac:dyDescent="0.2">
      <c r="A8" s="2" t="s">
        <v>8</v>
      </c>
      <c r="B8" s="3">
        <v>269</v>
      </c>
      <c r="C8" s="12">
        <f>GovByAssemblyDistrict72General[[#This Row],[Part of New York County Vote Results]]</f>
        <v>269</v>
      </c>
      <c r="D8" s="14"/>
    </row>
    <row r="9" spans="1:4" x14ac:dyDescent="0.2">
      <c r="A9" s="2" t="s">
        <v>9</v>
      </c>
      <c r="B9" s="3">
        <v>109</v>
      </c>
      <c r="C9" s="12">
        <f>GovByAssemblyDistrict72General[[#This Row],[Part of New York County Vote Results]]</f>
        <v>109</v>
      </c>
      <c r="D9" s="14"/>
    </row>
    <row r="10" spans="1:4" x14ac:dyDescent="0.2">
      <c r="A10" s="2" t="s">
        <v>16</v>
      </c>
      <c r="B10" s="3">
        <v>36</v>
      </c>
      <c r="C10" s="12">
        <f>GovByAssemblyDistrict72General[[#This Row],[Part of New York County Vote Results]]</f>
        <v>36</v>
      </c>
      <c r="D10" s="14"/>
    </row>
    <row r="11" spans="1:4" x14ac:dyDescent="0.2">
      <c r="A11" s="2" t="s">
        <v>10</v>
      </c>
      <c r="B11" s="3">
        <v>191</v>
      </c>
      <c r="C11" s="12">
        <f>GovByAssemblyDistrict72General[[#This Row],[Part of New York County Vote Results]]</f>
        <v>191</v>
      </c>
      <c r="D11" s="13">
        <f>GovByAssemblyDistrict72General[[#This Row],[Total Votes by Party]]</f>
        <v>191</v>
      </c>
    </row>
    <row r="12" spans="1:4" x14ac:dyDescent="0.2">
      <c r="A12" s="4" t="s">
        <v>11</v>
      </c>
      <c r="B12" s="5">
        <v>216</v>
      </c>
      <c r="C12" s="12">
        <f>GovByAssemblyDistrict72General[[#This Row],[Part of New York County Vote Results]]</f>
        <v>216</v>
      </c>
      <c r="D12" s="13">
        <f>GovByAssemblyDistrict72General[[#This Row],[Total Votes by Party]]</f>
        <v>216</v>
      </c>
    </row>
    <row r="13" spans="1:4" x14ac:dyDescent="0.2">
      <c r="A13" s="4" t="s">
        <v>0</v>
      </c>
      <c r="B13" s="5">
        <v>475</v>
      </c>
      <c r="C13" s="12">
        <f>GovByAssemblyDistrict72General[[#This Row],[Part of New York County Vote Results]]</f>
        <v>475</v>
      </c>
      <c r="D13" s="14"/>
    </row>
    <row r="14" spans="1:4" x14ac:dyDescent="0.2">
      <c r="A14" s="4" t="s">
        <v>1</v>
      </c>
      <c r="B14" s="5">
        <v>0</v>
      </c>
      <c r="C14" s="12">
        <f>GovByAssemblyDistrict72General[[#This Row],[Part of New York County Vote Results]]</f>
        <v>0</v>
      </c>
      <c r="D14" s="14"/>
    </row>
    <row r="15" spans="1:4" x14ac:dyDescent="0.2">
      <c r="A15" s="4" t="s">
        <v>2</v>
      </c>
      <c r="B15" s="5">
        <v>97</v>
      </c>
      <c r="C15" s="12">
        <f>GovByAssemblyDistrict72General[[#This Row],[Part of New York County Vote Results]]</f>
        <v>97</v>
      </c>
      <c r="D15" s="14"/>
    </row>
    <row r="16" spans="1:4" hidden="1" x14ac:dyDescent="0.2">
      <c r="A16" s="4" t="s">
        <v>4</v>
      </c>
      <c r="B16" s="6">
        <f>SUBTOTAL(109,GovByAssemblyDistrict72General[Total Votes by Candidate])</f>
        <v>34302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EF977-89D9-48A0-A437-F1A6639E352F}">
  <dimension ref="A1:D16"/>
  <sheetViews>
    <sheetView workbookViewId="0">
      <selection activeCell="B19" sqref="B19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94</v>
      </c>
    </row>
    <row r="2" spans="1:4" ht="24.95" customHeight="1" x14ac:dyDescent="0.2">
      <c r="A2" s="7" t="s">
        <v>12</v>
      </c>
      <c r="B2" s="8" t="s">
        <v>86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35701</v>
      </c>
      <c r="C3" s="12">
        <f>GovByAssemblyDistrict73General[[#This Row],[Part of New York County Vote Results]]</f>
        <v>35701</v>
      </c>
      <c r="D3" s="13">
        <f>SUM(C3,C7,C8,C9)</f>
        <v>37282</v>
      </c>
    </row>
    <row r="4" spans="1:4" x14ac:dyDescent="0.2">
      <c r="A4" s="2" t="s">
        <v>14</v>
      </c>
      <c r="B4" s="3">
        <v>8951</v>
      </c>
      <c r="C4" s="12">
        <f>GovByAssemblyDistrict73General[[#This Row],[Part of New York County Vote Results]]</f>
        <v>8951</v>
      </c>
      <c r="D4" s="13">
        <f>SUM(C4,C5,C10)</f>
        <v>9482</v>
      </c>
    </row>
    <row r="5" spans="1:4" x14ac:dyDescent="0.2">
      <c r="A5" s="2" t="s">
        <v>15</v>
      </c>
      <c r="B5" s="3">
        <v>478</v>
      </c>
      <c r="C5" s="12">
        <f>GovByAssemblyDistrict73General[[#This Row],[Part of New York County Vote Results]]</f>
        <v>478</v>
      </c>
      <c r="D5" s="14"/>
    </row>
    <row r="6" spans="1:4" x14ac:dyDescent="0.2">
      <c r="A6" s="2" t="s">
        <v>6</v>
      </c>
      <c r="B6" s="3">
        <v>615</v>
      </c>
      <c r="C6" s="12">
        <f>GovByAssemblyDistrict73General[[#This Row],[Part of New York County Vote Results]]</f>
        <v>615</v>
      </c>
      <c r="D6" s="13">
        <f>GovByAssemblyDistrict73General[[#This Row],[Total Votes by Party]]</f>
        <v>615</v>
      </c>
    </row>
    <row r="7" spans="1:4" x14ac:dyDescent="0.2">
      <c r="A7" s="2" t="s">
        <v>7</v>
      </c>
      <c r="B7" s="3">
        <v>784</v>
      </c>
      <c r="C7" s="12">
        <f>GovByAssemblyDistrict73General[[#This Row],[Part of New York County Vote Results]]</f>
        <v>784</v>
      </c>
      <c r="D7" s="14"/>
    </row>
    <row r="8" spans="1:4" x14ac:dyDescent="0.2">
      <c r="A8" s="2" t="s">
        <v>8</v>
      </c>
      <c r="B8" s="3">
        <v>664</v>
      </c>
      <c r="C8" s="12">
        <f>GovByAssemblyDistrict73General[[#This Row],[Part of New York County Vote Results]]</f>
        <v>664</v>
      </c>
      <c r="D8" s="14"/>
    </row>
    <row r="9" spans="1:4" x14ac:dyDescent="0.2">
      <c r="A9" s="2" t="s">
        <v>9</v>
      </c>
      <c r="B9" s="3">
        <v>133</v>
      </c>
      <c r="C9" s="12">
        <f>GovByAssemblyDistrict73General[[#This Row],[Part of New York County Vote Results]]</f>
        <v>133</v>
      </c>
      <c r="D9" s="14"/>
    </row>
    <row r="10" spans="1:4" x14ac:dyDescent="0.2">
      <c r="A10" s="2" t="s">
        <v>16</v>
      </c>
      <c r="B10" s="3">
        <v>53</v>
      </c>
      <c r="C10" s="12">
        <f>GovByAssemblyDistrict73General[[#This Row],[Part of New York County Vote Results]]</f>
        <v>53</v>
      </c>
      <c r="D10" s="14"/>
    </row>
    <row r="11" spans="1:4" x14ac:dyDescent="0.2">
      <c r="A11" s="2" t="s">
        <v>10</v>
      </c>
      <c r="B11" s="3">
        <v>287</v>
      </c>
      <c r="C11" s="12">
        <f>GovByAssemblyDistrict73General[[#This Row],[Part of New York County Vote Results]]</f>
        <v>287</v>
      </c>
      <c r="D11" s="13">
        <f>GovByAssemblyDistrict73General[[#This Row],[Total Votes by Party]]</f>
        <v>287</v>
      </c>
    </row>
    <row r="12" spans="1:4" x14ac:dyDescent="0.2">
      <c r="A12" s="4" t="s">
        <v>11</v>
      </c>
      <c r="B12" s="5">
        <v>293</v>
      </c>
      <c r="C12" s="12">
        <f>GovByAssemblyDistrict73General[[#This Row],[Part of New York County Vote Results]]</f>
        <v>293</v>
      </c>
      <c r="D12" s="13">
        <f>GovByAssemblyDistrict73General[[#This Row],[Total Votes by Party]]</f>
        <v>293</v>
      </c>
    </row>
    <row r="13" spans="1:4" x14ac:dyDescent="0.2">
      <c r="A13" s="4" t="s">
        <v>0</v>
      </c>
      <c r="B13" s="5">
        <v>940</v>
      </c>
      <c r="C13" s="12">
        <f>GovByAssemblyDistrict73General[[#This Row],[Part of New York County Vote Results]]</f>
        <v>940</v>
      </c>
      <c r="D13" s="14"/>
    </row>
    <row r="14" spans="1:4" x14ac:dyDescent="0.2">
      <c r="A14" s="4" t="s">
        <v>1</v>
      </c>
      <c r="B14" s="5">
        <v>0</v>
      </c>
      <c r="C14" s="12">
        <f>GovByAssemblyDistrict73General[[#This Row],[Part of New York County Vote Results]]</f>
        <v>0</v>
      </c>
      <c r="D14" s="14"/>
    </row>
    <row r="15" spans="1:4" x14ac:dyDescent="0.2">
      <c r="A15" s="4" t="s">
        <v>2</v>
      </c>
      <c r="B15" s="5">
        <v>100</v>
      </c>
      <c r="C15" s="12">
        <f>GovByAssemblyDistrict73General[[#This Row],[Part of New York County Vote Results]]</f>
        <v>100</v>
      </c>
      <c r="D15" s="14"/>
    </row>
    <row r="16" spans="1:4" hidden="1" x14ac:dyDescent="0.2">
      <c r="A16" s="4" t="s">
        <v>4</v>
      </c>
      <c r="B16" s="6">
        <f>SUBTOTAL(109,GovByAssemblyDistrict73General[Total Votes by Candidate])</f>
        <v>47959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0693A-9331-4029-8483-AB0C20E0779D}">
  <dimension ref="A1:D16"/>
  <sheetViews>
    <sheetView workbookViewId="0">
      <selection activeCell="B19" sqref="B19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95</v>
      </c>
    </row>
    <row r="2" spans="1:4" ht="24.95" customHeight="1" x14ac:dyDescent="0.2">
      <c r="A2" s="7" t="s">
        <v>12</v>
      </c>
      <c r="B2" s="8" t="s">
        <v>86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34261</v>
      </c>
      <c r="C3" s="12">
        <f>GovByAssemblyDistrict74General[[#This Row],[Part of New York County Vote Results]]</f>
        <v>34261</v>
      </c>
      <c r="D3" s="13">
        <f>SUM(C3,C7,C8,C9)</f>
        <v>36586</v>
      </c>
    </row>
    <row r="4" spans="1:4" x14ac:dyDescent="0.2">
      <c r="A4" s="2" t="s">
        <v>14</v>
      </c>
      <c r="B4" s="3">
        <v>4315</v>
      </c>
      <c r="C4" s="12">
        <f>GovByAssemblyDistrict74General[[#This Row],[Part of New York County Vote Results]]</f>
        <v>4315</v>
      </c>
      <c r="D4" s="13">
        <f>SUM(C4,C5,C10)</f>
        <v>4776</v>
      </c>
    </row>
    <row r="5" spans="1:4" x14ac:dyDescent="0.2">
      <c r="A5" s="2" t="s">
        <v>15</v>
      </c>
      <c r="B5" s="3">
        <v>392</v>
      </c>
      <c r="C5" s="12">
        <f>GovByAssemblyDistrict74General[[#This Row],[Part of New York County Vote Results]]</f>
        <v>392</v>
      </c>
      <c r="D5" s="14"/>
    </row>
    <row r="6" spans="1:4" x14ac:dyDescent="0.2">
      <c r="A6" s="2" t="s">
        <v>6</v>
      </c>
      <c r="B6" s="3">
        <v>1184</v>
      </c>
      <c r="C6" s="12">
        <f>GovByAssemblyDistrict74General[[#This Row],[Part of New York County Vote Results]]</f>
        <v>1184</v>
      </c>
      <c r="D6" s="13">
        <f>GovByAssemblyDistrict74General[[#This Row],[Total Votes by Party]]</f>
        <v>1184</v>
      </c>
    </row>
    <row r="7" spans="1:4" x14ac:dyDescent="0.2">
      <c r="A7" s="2" t="s">
        <v>7</v>
      </c>
      <c r="B7" s="3">
        <v>1672</v>
      </c>
      <c r="C7" s="12">
        <f>GovByAssemblyDistrict74General[[#This Row],[Part of New York County Vote Results]]</f>
        <v>1672</v>
      </c>
      <c r="D7" s="14"/>
    </row>
    <row r="8" spans="1:4" x14ac:dyDescent="0.2">
      <c r="A8" s="2" t="s">
        <v>8</v>
      </c>
      <c r="B8" s="3">
        <v>475</v>
      </c>
      <c r="C8" s="12">
        <f>GovByAssemblyDistrict74General[[#This Row],[Part of New York County Vote Results]]</f>
        <v>475</v>
      </c>
      <c r="D8" s="14"/>
    </row>
    <row r="9" spans="1:4" x14ac:dyDescent="0.2">
      <c r="A9" s="2" t="s">
        <v>9</v>
      </c>
      <c r="B9" s="3">
        <v>178</v>
      </c>
      <c r="C9" s="12">
        <f>GovByAssemblyDistrict74General[[#This Row],[Part of New York County Vote Results]]</f>
        <v>178</v>
      </c>
      <c r="D9" s="14"/>
    </row>
    <row r="10" spans="1:4" x14ac:dyDescent="0.2">
      <c r="A10" s="2" t="s">
        <v>16</v>
      </c>
      <c r="B10" s="3">
        <v>69</v>
      </c>
      <c r="C10" s="12">
        <f>GovByAssemblyDistrict74General[[#This Row],[Part of New York County Vote Results]]</f>
        <v>69</v>
      </c>
      <c r="D10" s="14"/>
    </row>
    <row r="11" spans="1:4" x14ac:dyDescent="0.2">
      <c r="A11" s="2" t="s">
        <v>10</v>
      </c>
      <c r="B11" s="3">
        <v>308</v>
      </c>
      <c r="C11" s="12">
        <f>GovByAssemblyDistrict74General[[#This Row],[Part of New York County Vote Results]]</f>
        <v>308</v>
      </c>
      <c r="D11" s="13">
        <f>GovByAssemblyDistrict74General[[#This Row],[Total Votes by Party]]</f>
        <v>308</v>
      </c>
    </row>
    <row r="12" spans="1:4" x14ac:dyDescent="0.2">
      <c r="A12" s="4" t="s">
        <v>11</v>
      </c>
      <c r="B12" s="5">
        <v>284</v>
      </c>
      <c r="C12" s="12">
        <f>GovByAssemblyDistrict74General[[#This Row],[Part of New York County Vote Results]]</f>
        <v>284</v>
      </c>
      <c r="D12" s="13">
        <f>GovByAssemblyDistrict74General[[#This Row],[Total Votes by Party]]</f>
        <v>284</v>
      </c>
    </row>
    <row r="13" spans="1:4" x14ac:dyDescent="0.2">
      <c r="A13" s="4" t="s">
        <v>0</v>
      </c>
      <c r="B13" s="5">
        <v>444</v>
      </c>
      <c r="C13" s="12">
        <f>GovByAssemblyDistrict74General[[#This Row],[Part of New York County Vote Results]]</f>
        <v>444</v>
      </c>
      <c r="D13" s="14"/>
    </row>
    <row r="14" spans="1:4" x14ac:dyDescent="0.2">
      <c r="A14" s="4" t="s">
        <v>1</v>
      </c>
      <c r="B14" s="5">
        <v>0</v>
      </c>
      <c r="C14" s="12">
        <f>GovByAssemblyDistrict74General[[#This Row],[Part of New York County Vote Results]]</f>
        <v>0</v>
      </c>
      <c r="D14" s="14"/>
    </row>
    <row r="15" spans="1:4" x14ac:dyDescent="0.2">
      <c r="A15" s="4" t="s">
        <v>2</v>
      </c>
      <c r="B15" s="5">
        <v>131</v>
      </c>
      <c r="C15" s="12">
        <f>GovByAssemblyDistrict74General[[#This Row],[Part of New York County Vote Results]]</f>
        <v>131</v>
      </c>
      <c r="D15" s="14"/>
    </row>
    <row r="16" spans="1:4" hidden="1" x14ac:dyDescent="0.2">
      <c r="A16" s="4" t="s">
        <v>4</v>
      </c>
      <c r="B16" s="6">
        <f>SUBTOTAL(109,GovByAssemblyDistrict74General[Total Votes by Candidate])</f>
        <v>43138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A63DF-FD7A-476A-80EC-3A57DE58A0D8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96</v>
      </c>
    </row>
    <row r="2" spans="1:4" ht="24.95" customHeight="1" x14ac:dyDescent="0.2">
      <c r="A2" s="7" t="s">
        <v>12</v>
      </c>
      <c r="B2" s="8" t="s">
        <v>86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38642</v>
      </c>
      <c r="C3" s="12">
        <f>GovByAssemblyDistrict75General[[#This Row],[Part of New York County Vote Results]]</f>
        <v>38642</v>
      </c>
      <c r="D3" s="13">
        <f>SUM(C3,C7,C8,C9)</f>
        <v>41266</v>
      </c>
    </row>
    <row r="4" spans="1:4" x14ac:dyDescent="0.2">
      <c r="A4" s="2" t="s">
        <v>14</v>
      </c>
      <c r="B4" s="3">
        <v>4759</v>
      </c>
      <c r="C4" s="12">
        <f>GovByAssemblyDistrict75General[[#This Row],[Part of New York County Vote Results]]</f>
        <v>4759</v>
      </c>
      <c r="D4" s="13">
        <f>SUM(C4,C5,C10)</f>
        <v>5204</v>
      </c>
    </row>
    <row r="5" spans="1:4" x14ac:dyDescent="0.2">
      <c r="A5" s="2" t="s">
        <v>15</v>
      </c>
      <c r="B5" s="3">
        <v>391</v>
      </c>
      <c r="C5" s="12">
        <f>GovByAssemblyDistrict75General[[#This Row],[Part of New York County Vote Results]]</f>
        <v>391</v>
      </c>
      <c r="D5" s="14"/>
    </row>
    <row r="6" spans="1:4" x14ac:dyDescent="0.2">
      <c r="A6" s="2" t="s">
        <v>6</v>
      </c>
      <c r="B6" s="3">
        <v>1051</v>
      </c>
      <c r="C6" s="12">
        <f>GovByAssemblyDistrict75General[[#This Row],[Part of New York County Vote Results]]</f>
        <v>1051</v>
      </c>
      <c r="D6" s="13">
        <f>GovByAssemblyDistrict75General[[#This Row],[Total Votes by Party]]</f>
        <v>1051</v>
      </c>
    </row>
    <row r="7" spans="1:4" x14ac:dyDescent="0.2">
      <c r="A7" s="2" t="s">
        <v>7</v>
      </c>
      <c r="B7" s="3">
        <v>1871</v>
      </c>
      <c r="C7" s="12">
        <f>GovByAssemblyDistrict75General[[#This Row],[Part of New York County Vote Results]]</f>
        <v>1871</v>
      </c>
      <c r="D7" s="14"/>
    </row>
    <row r="8" spans="1:4" x14ac:dyDescent="0.2">
      <c r="A8" s="2" t="s">
        <v>8</v>
      </c>
      <c r="B8" s="3">
        <v>578</v>
      </c>
      <c r="C8" s="12">
        <f>GovByAssemblyDistrict75General[[#This Row],[Part of New York County Vote Results]]</f>
        <v>578</v>
      </c>
      <c r="D8" s="14"/>
    </row>
    <row r="9" spans="1:4" x14ac:dyDescent="0.2">
      <c r="A9" s="2" t="s">
        <v>9</v>
      </c>
      <c r="B9" s="3">
        <v>175</v>
      </c>
      <c r="C9" s="12">
        <f>GovByAssemblyDistrict75General[[#This Row],[Part of New York County Vote Results]]</f>
        <v>175</v>
      </c>
      <c r="D9" s="14"/>
    </row>
    <row r="10" spans="1:4" x14ac:dyDescent="0.2">
      <c r="A10" s="2" t="s">
        <v>16</v>
      </c>
      <c r="B10" s="3">
        <v>54</v>
      </c>
      <c r="C10" s="12">
        <f>GovByAssemblyDistrict75General[[#This Row],[Part of New York County Vote Results]]</f>
        <v>54</v>
      </c>
      <c r="D10" s="14"/>
    </row>
    <row r="11" spans="1:4" x14ac:dyDescent="0.2">
      <c r="A11" s="2" t="s">
        <v>10</v>
      </c>
      <c r="B11" s="3">
        <v>353</v>
      </c>
      <c r="C11" s="12">
        <f>GovByAssemblyDistrict75General[[#This Row],[Part of New York County Vote Results]]</f>
        <v>353</v>
      </c>
      <c r="D11" s="13">
        <f>GovByAssemblyDistrict75General[[#This Row],[Total Votes by Party]]</f>
        <v>353</v>
      </c>
    </row>
    <row r="12" spans="1:4" x14ac:dyDescent="0.2">
      <c r="A12" s="4" t="s">
        <v>11</v>
      </c>
      <c r="B12" s="5">
        <v>372</v>
      </c>
      <c r="C12" s="12">
        <f>GovByAssemblyDistrict75General[[#This Row],[Part of New York County Vote Results]]</f>
        <v>372</v>
      </c>
      <c r="D12" s="13">
        <f>GovByAssemblyDistrict75General[[#This Row],[Total Votes by Party]]</f>
        <v>372</v>
      </c>
    </row>
    <row r="13" spans="1:4" x14ac:dyDescent="0.2">
      <c r="A13" s="4" t="s">
        <v>0</v>
      </c>
      <c r="B13" s="5">
        <v>529</v>
      </c>
      <c r="C13" s="12">
        <f>GovByAssemblyDistrict75General[[#This Row],[Part of New York County Vote Results]]</f>
        <v>529</v>
      </c>
      <c r="D13" s="14"/>
    </row>
    <row r="14" spans="1:4" x14ac:dyDescent="0.2">
      <c r="A14" s="4" t="s">
        <v>1</v>
      </c>
      <c r="B14" s="5">
        <v>0</v>
      </c>
      <c r="C14" s="12">
        <f>GovByAssemblyDistrict75General[[#This Row],[Part of New York County Vote Results]]</f>
        <v>0</v>
      </c>
      <c r="D14" s="14"/>
    </row>
    <row r="15" spans="1:4" x14ac:dyDescent="0.2">
      <c r="A15" s="4" t="s">
        <v>2</v>
      </c>
      <c r="B15" s="5">
        <v>132</v>
      </c>
      <c r="C15" s="12">
        <f>GovByAssemblyDistrict75General[[#This Row],[Part of New York County Vote Results]]</f>
        <v>132</v>
      </c>
      <c r="D15" s="14"/>
    </row>
    <row r="16" spans="1:4" hidden="1" x14ac:dyDescent="0.2">
      <c r="A16" s="4" t="s">
        <v>4</v>
      </c>
      <c r="B16" s="6">
        <f>SUBTOTAL(109,GovByAssemblyDistrict75General[Total Votes by Candidate])</f>
        <v>48246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28AF4-E59E-4215-BD59-D92AFE02A562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97</v>
      </c>
    </row>
    <row r="2" spans="1:4" ht="24.95" customHeight="1" x14ac:dyDescent="0.2">
      <c r="A2" s="7" t="s">
        <v>12</v>
      </c>
      <c r="B2" s="8" t="s">
        <v>86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37226</v>
      </c>
      <c r="C3" s="12">
        <f>GovByAssemblyDistrict76General[[#This Row],[Part of New York County Vote Results]]</f>
        <v>37226</v>
      </c>
      <c r="D3" s="13">
        <f>SUM(C3,C7,C8,C9)</f>
        <v>38862</v>
      </c>
    </row>
    <row r="4" spans="1:4" x14ac:dyDescent="0.2">
      <c r="A4" s="2" t="s">
        <v>14</v>
      </c>
      <c r="B4" s="3">
        <v>7207</v>
      </c>
      <c r="C4" s="12">
        <f>GovByAssemblyDistrict76General[[#This Row],[Part of New York County Vote Results]]</f>
        <v>7207</v>
      </c>
      <c r="D4" s="13">
        <f>SUM(C4,C5,C10)</f>
        <v>7770</v>
      </c>
    </row>
    <row r="5" spans="1:4" x14ac:dyDescent="0.2">
      <c r="A5" s="2" t="s">
        <v>15</v>
      </c>
      <c r="B5" s="3">
        <v>492</v>
      </c>
      <c r="C5" s="12">
        <f>GovByAssemblyDistrict76General[[#This Row],[Part of New York County Vote Results]]</f>
        <v>492</v>
      </c>
      <c r="D5" s="14"/>
    </row>
    <row r="6" spans="1:4" x14ac:dyDescent="0.2">
      <c r="A6" s="2" t="s">
        <v>6</v>
      </c>
      <c r="B6" s="3">
        <v>830</v>
      </c>
      <c r="C6" s="12">
        <f>GovByAssemblyDistrict76General[[#This Row],[Part of New York County Vote Results]]</f>
        <v>830</v>
      </c>
      <c r="D6" s="13">
        <f>GovByAssemblyDistrict76General[[#This Row],[Total Votes by Party]]</f>
        <v>830</v>
      </c>
    </row>
    <row r="7" spans="1:4" x14ac:dyDescent="0.2">
      <c r="A7" s="2" t="s">
        <v>7</v>
      </c>
      <c r="B7" s="3">
        <v>899</v>
      </c>
      <c r="C7" s="12">
        <f>GovByAssemblyDistrict76General[[#This Row],[Part of New York County Vote Results]]</f>
        <v>899</v>
      </c>
      <c r="D7" s="14"/>
    </row>
    <row r="8" spans="1:4" x14ac:dyDescent="0.2">
      <c r="A8" s="2" t="s">
        <v>8</v>
      </c>
      <c r="B8" s="3">
        <v>590</v>
      </c>
      <c r="C8" s="12">
        <f>GovByAssemblyDistrict76General[[#This Row],[Part of New York County Vote Results]]</f>
        <v>590</v>
      </c>
      <c r="D8" s="14"/>
    </row>
    <row r="9" spans="1:4" x14ac:dyDescent="0.2">
      <c r="A9" s="2" t="s">
        <v>9</v>
      </c>
      <c r="B9" s="3">
        <v>147</v>
      </c>
      <c r="C9" s="12">
        <f>GovByAssemblyDistrict76General[[#This Row],[Part of New York County Vote Results]]</f>
        <v>147</v>
      </c>
      <c r="D9" s="14"/>
    </row>
    <row r="10" spans="1:4" x14ac:dyDescent="0.2">
      <c r="A10" s="2" t="s">
        <v>16</v>
      </c>
      <c r="B10" s="3">
        <v>71</v>
      </c>
      <c r="C10" s="12">
        <f>GovByAssemblyDistrict76General[[#This Row],[Part of New York County Vote Results]]</f>
        <v>71</v>
      </c>
      <c r="D10" s="14"/>
    </row>
    <row r="11" spans="1:4" x14ac:dyDescent="0.2">
      <c r="A11" s="2" t="s">
        <v>10</v>
      </c>
      <c r="B11" s="3">
        <v>346</v>
      </c>
      <c r="C11" s="12">
        <f>GovByAssemblyDistrict76General[[#This Row],[Part of New York County Vote Results]]</f>
        <v>346</v>
      </c>
      <c r="D11" s="13">
        <f>GovByAssemblyDistrict76General[[#This Row],[Total Votes by Party]]</f>
        <v>346</v>
      </c>
    </row>
    <row r="12" spans="1:4" x14ac:dyDescent="0.2">
      <c r="A12" s="4" t="s">
        <v>11</v>
      </c>
      <c r="B12" s="5">
        <v>330</v>
      </c>
      <c r="C12" s="12">
        <f>GovByAssemblyDistrict76General[[#This Row],[Part of New York County Vote Results]]</f>
        <v>330</v>
      </c>
      <c r="D12" s="13">
        <f>GovByAssemblyDistrict76General[[#This Row],[Total Votes by Party]]</f>
        <v>330</v>
      </c>
    </row>
    <row r="13" spans="1:4" x14ac:dyDescent="0.2">
      <c r="A13" s="4" t="s">
        <v>0</v>
      </c>
      <c r="B13" s="5">
        <v>485</v>
      </c>
      <c r="C13" s="12">
        <f>GovByAssemblyDistrict76General[[#This Row],[Part of New York County Vote Results]]</f>
        <v>485</v>
      </c>
      <c r="D13" s="14"/>
    </row>
    <row r="14" spans="1:4" x14ac:dyDescent="0.2">
      <c r="A14" s="4" t="s">
        <v>1</v>
      </c>
      <c r="B14" s="5">
        <v>0</v>
      </c>
      <c r="C14" s="12">
        <f>GovByAssemblyDistrict76General[[#This Row],[Part of New York County Vote Results]]</f>
        <v>0</v>
      </c>
      <c r="D14" s="14"/>
    </row>
    <row r="15" spans="1:4" x14ac:dyDescent="0.2">
      <c r="A15" s="4" t="s">
        <v>2</v>
      </c>
      <c r="B15" s="5">
        <v>138</v>
      </c>
      <c r="C15" s="12">
        <f>GovByAssemblyDistrict76General[[#This Row],[Part of New York County Vote Results]]</f>
        <v>138</v>
      </c>
      <c r="D15" s="14"/>
    </row>
    <row r="16" spans="1:4" hidden="1" x14ac:dyDescent="0.2">
      <c r="A16" s="4" t="s">
        <v>4</v>
      </c>
      <c r="B16" s="6">
        <f>SUBTOTAL(109,GovByAssemblyDistrict76General[Total Votes by Candidate])</f>
        <v>48138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C9655-11A7-46C1-B7ED-126B4BEFA7D0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98</v>
      </c>
    </row>
    <row r="2" spans="1:4" ht="24.95" customHeight="1" x14ac:dyDescent="0.2">
      <c r="A2" s="7" t="s">
        <v>12</v>
      </c>
      <c r="B2" s="8" t="s">
        <v>99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21854</v>
      </c>
      <c r="C3" s="12">
        <f>GovByAssemblyDistrict77General[[#This Row],[Part of Bronx County Vote Results]]</f>
        <v>21854</v>
      </c>
      <c r="D3" s="13">
        <f>SUM(C3,C7,C8,C9)</f>
        <v>22288</v>
      </c>
    </row>
    <row r="4" spans="1:4" x14ac:dyDescent="0.2">
      <c r="A4" s="2" t="s">
        <v>14</v>
      </c>
      <c r="B4" s="3">
        <v>721</v>
      </c>
      <c r="C4" s="12">
        <f>GovByAssemblyDistrict77General[[#This Row],[Part of Bronx County Vote Results]]</f>
        <v>721</v>
      </c>
      <c r="D4" s="13">
        <f>SUM(C4,C5,C10)</f>
        <v>789</v>
      </c>
    </row>
    <row r="5" spans="1:4" x14ac:dyDescent="0.2">
      <c r="A5" s="2" t="s">
        <v>15</v>
      </c>
      <c r="B5" s="3">
        <v>56</v>
      </c>
      <c r="C5" s="12">
        <f>GovByAssemblyDistrict77General[[#This Row],[Part of Bronx County Vote Results]]</f>
        <v>56</v>
      </c>
      <c r="D5" s="14"/>
    </row>
    <row r="6" spans="1:4" x14ac:dyDescent="0.2">
      <c r="A6" s="2" t="s">
        <v>6</v>
      </c>
      <c r="B6" s="3">
        <v>172</v>
      </c>
      <c r="C6" s="12">
        <f>GovByAssemblyDistrict77General[[#This Row],[Part of Bronx County Vote Results]]</f>
        <v>172</v>
      </c>
      <c r="D6" s="13">
        <f>GovByAssemblyDistrict77General[[#This Row],[Total Votes by Party]]</f>
        <v>172</v>
      </c>
    </row>
    <row r="7" spans="1:4" x14ac:dyDescent="0.2">
      <c r="A7" s="2" t="s">
        <v>7</v>
      </c>
      <c r="B7" s="3">
        <v>270</v>
      </c>
      <c r="C7" s="12">
        <f>GovByAssemblyDistrict77General[[#This Row],[Part of Bronx County Vote Results]]</f>
        <v>270</v>
      </c>
      <c r="D7" s="14"/>
    </row>
    <row r="8" spans="1:4" x14ac:dyDescent="0.2">
      <c r="A8" s="2" t="s">
        <v>8</v>
      </c>
      <c r="B8" s="3">
        <v>124</v>
      </c>
      <c r="C8" s="12">
        <f>GovByAssemblyDistrict77General[[#This Row],[Part of Bronx County Vote Results]]</f>
        <v>124</v>
      </c>
      <c r="D8" s="14"/>
    </row>
    <row r="9" spans="1:4" x14ac:dyDescent="0.2">
      <c r="A9" s="2" t="s">
        <v>9</v>
      </c>
      <c r="B9" s="3">
        <v>40</v>
      </c>
      <c r="C9" s="12">
        <f>GovByAssemblyDistrict77General[[#This Row],[Part of Bronx County Vote Results]]</f>
        <v>40</v>
      </c>
      <c r="D9" s="14"/>
    </row>
    <row r="10" spans="1:4" x14ac:dyDescent="0.2">
      <c r="A10" s="2" t="s">
        <v>16</v>
      </c>
      <c r="B10" s="3">
        <v>12</v>
      </c>
      <c r="C10" s="12">
        <f>GovByAssemblyDistrict77General[[#This Row],[Part of Bronx County Vote Results]]</f>
        <v>12</v>
      </c>
      <c r="D10" s="14"/>
    </row>
    <row r="11" spans="1:4" x14ac:dyDescent="0.2">
      <c r="A11" s="2" t="s">
        <v>10</v>
      </c>
      <c r="B11" s="3">
        <v>63</v>
      </c>
      <c r="C11" s="12">
        <f>GovByAssemblyDistrict77General[[#This Row],[Part of Bronx County Vote Results]]</f>
        <v>63</v>
      </c>
      <c r="D11" s="13">
        <f>GovByAssemblyDistrict77General[[#This Row],[Total Votes by Party]]</f>
        <v>63</v>
      </c>
    </row>
    <row r="12" spans="1:4" x14ac:dyDescent="0.2">
      <c r="A12" s="4" t="s">
        <v>11</v>
      </c>
      <c r="B12" s="5">
        <v>40</v>
      </c>
      <c r="C12" s="12">
        <f>GovByAssemblyDistrict77General[[#This Row],[Part of Bronx County Vote Results]]</f>
        <v>40</v>
      </c>
      <c r="D12" s="13">
        <f>GovByAssemblyDistrict77General[[#This Row],[Total Votes by Party]]</f>
        <v>40</v>
      </c>
    </row>
    <row r="13" spans="1:4" x14ac:dyDescent="0.2">
      <c r="A13" s="4" t="s">
        <v>0</v>
      </c>
      <c r="B13" s="5">
        <v>272</v>
      </c>
      <c r="C13" s="12">
        <f>GovByAssemblyDistrict77General[[#This Row],[Part of Bronx County Vote Results]]</f>
        <v>272</v>
      </c>
      <c r="D13" s="14"/>
    </row>
    <row r="14" spans="1:4" x14ac:dyDescent="0.2">
      <c r="A14" s="4" t="s">
        <v>1</v>
      </c>
      <c r="B14" s="5">
        <v>0</v>
      </c>
      <c r="C14" s="12">
        <f>GovByAssemblyDistrict77General[[#This Row],[Part of Bronx County Vote Results]]</f>
        <v>0</v>
      </c>
      <c r="D14" s="14"/>
    </row>
    <row r="15" spans="1:4" x14ac:dyDescent="0.2">
      <c r="A15" s="4" t="s">
        <v>2</v>
      </c>
      <c r="B15" s="5">
        <v>17</v>
      </c>
      <c r="C15" s="12">
        <f>GovByAssemblyDistrict77General[[#This Row],[Part of Bronx County Vote Results]]</f>
        <v>17</v>
      </c>
      <c r="D15" s="14"/>
    </row>
    <row r="16" spans="1:4" hidden="1" x14ac:dyDescent="0.2">
      <c r="A16" s="4" t="s">
        <v>4</v>
      </c>
      <c r="B16" s="6">
        <f>SUBTOTAL(109,GovByAssemblyDistrict77General[Total Votes by Candidate])</f>
        <v>23352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8FA77-6E6F-472E-A58D-3F002F9C1057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100</v>
      </c>
    </row>
    <row r="2" spans="1:4" ht="24.95" customHeight="1" x14ac:dyDescent="0.2">
      <c r="A2" s="7" t="s">
        <v>12</v>
      </c>
      <c r="B2" s="8" t="s">
        <v>99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17257</v>
      </c>
      <c r="C3" s="12">
        <f>GovByAssemblyDistrict78General[[#This Row],[Part of Bronx County Vote Results]]</f>
        <v>17257</v>
      </c>
      <c r="D3" s="13">
        <f>SUM(C3,C7,C8,C9)</f>
        <v>17722</v>
      </c>
    </row>
    <row r="4" spans="1:4" x14ac:dyDescent="0.2">
      <c r="A4" s="2" t="s">
        <v>14</v>
      </c>
      <c r="B4" s="3">
        <v>1018</v>
      </c>
      <c r="C4" s="12">
        <f>GovByAssemblyDistrict78General[[#This Row],[Part of Bronx County Vote Results]]</f>
        <v>1018</v>
      </c>
      <c r="D4" s="13">
        <f>SUM(C4,C5,C10)</f>
        <v>1162</v>
      </c>
    </row>
    <row r="5" spans="1:4" x14ac:dyDescent="0.2">
      <c r="A5" s="2" t="s">
        <v>15</v>
      </c>
      <c r="B5" s="3">
        <v>127</v>
      </c>
      <c r="C5" s="12">
        <f>GovByAssemblyDistrict78General[[#This Row],[Part of Bronx County Vote Results]]</f>
        <v>127</v>
      </c>
      <c r="D5" s="14"/>
    </row>
    <row r="6" spans="1:4" x14ac:dyDescent="0.2">
      <c r="A6" s="2" t="s">
        <v>6</v>
      </c>
      <c r="B6" s="3">
        <v>233</v>
      </c>
      <c r="C6" s="12">
        <f>GovByAssemblyDistrict78General[[#This Row],[Part of Bronx County Vote Results]]</f>
        <v>233</v>
      </c>
      <c r="D6" s="13">
        <f>GovByAssemblyDistrict78General[[#This Row],[Total Votes by Party]]</f>
        <v>233</v>
      </c>
    </row>
    <row r="7" spans="1:4" x14ac:dyDescent="0.2">
      <c r="A7" s="2" t="s">
        <v>7</v>
      </c>
      <c r="B7" s="3">
        <v>287</v>
      </c>
      <c r="C7" s="12">
        <f>GovByAssemblyDistrict78General[[#This Row],[Part of Bronx County Vote Results]]</f>
        <v>287</v>
      </c>
      <c r="D7" s="14"/>
    </row>
    <row r="8" spans="1:4" x14ac:dyDescent="0.2">
      <c r="A8" s="2" t="s">
        <v>8</v>
      </c>
      <c r="B8" s="3">
        <v>137</v>
      </c>
      <c r="C8" s="12">
        <f>GovByAssemblyDistrict78General[[#This Row],[Part of Bronx County Vote Results]]</f>
        <v>137</v>
      </c>
      <c r="D8" s="14"/>
    </row>
    <row r="9" spans="1:4" x14ac:dyDescent="0.2">
      <c r="A9" s="2" t="s">
        <v>9</v>
      </c>
      <c r="B9" s="3">
        <v>41</v>
      </c>
      <c r="C9" s="12">
        <f>GovByAssemblyDistrict78General[[#This Row],[Part of Bronx County Vote Results]]</f>
        <v>41</v>
      </c>
      <c r="D9" s="14"/>
    </row>
    <row r="10" spans="1:4" x14ac:dyDescent="0.2">
      <c r="A10" s="2" t="s">
        <v>16</v>
      </c>
      <c r="B10" s="3">
        <v>17</v>
      </c>
      <c r="C10" s="12">
        <f>GovByAssemblyDistrict78General[[#This Row],[Part of Bronx County Vote Results]]</f>
        <v>17</v>
      </c>
      <c r="D10" s="14"/>
    </row>
    <row r="11" spans="1:4" x14ac:dyDescent="0.2">
      <c r="A11" s="2" t="s">
        <v>10</v>
      </c>
      <c r="B11" s="3">
        <v>61</v>
      </c>
      <c r="C11" s="12">
        <f>GovByAssemblyDistrict78General[[#This Row],[Part of Bronx County Vote Results]]</f>
        <v>61</v>
      </c>
      <c r="D11" s="13">
        <f>GovByAssemblyDistrict78General[[#This Row],[Total Votes by Party]]</f>
        <v>61</v>
      </c>
    </row>
    <row r="12" spans="1:4" x14ac:dyDescent="0.2">
      <c r="A12" s="4" t="s">
        <v>11</v>
      </c>
      <c r="B12" s="5">
        <v>37</v>
      </c>
      <c r="C12" s="12">
        <f>GovByAssemblyDistrict78General[[#This Row],[Part of Bronx County Vote Results]]</f>
        <v>37</v>
      </c>
      <c r="D12" s="13">
        <f>GovByAssemblyDistrict78General[[#This Row],[Total Votes by Party]]</f>
        <v>37</v>
      </c>
    </row>
    <row r="13" spans="1:4" x14ac:dyDescent="0.2">
      <c r="A13" s="4" t="s">
        <v>0</v>
      </c>
      <c r="B13" s="5">
        <v>300</v>
      </c>
      <c r="C13" s="12">
        <f>GovByAssemblyDistrict78General[[#This Row],[Part of Bronx County Vote Results]]</f>
        <v>300</v>
      </c>
      <c r="D13" s="14"/>
    </row>
    <row r="14" spans="1:4" x14ac:dyDescent="0.2">
      <c r="A14" s="4" t="s">
        <v>1</v>
      </c>
      <c r="B14" s="5">
        <v>0</v>
      </c>
      <c r="C14" s="12">
        <f>GovByAssemblyDistrict78General[[#This Row],[Part of Bronx County Vote Results]]</f>
        <v>0</v>
      </c>
      <c r="D14" s="14"/>
    </row>
    <row r="15" spans="1:4" x14ac:dyDescent="0.2">
      <c r="A15" s="4" t="s">
        <v>2</v>
      </c>
      <c r="B15" s="5">
        <v>24</v>
      </c>
      <c r="C15" s="12">
        <f>GovByAssemblyDistrict78General[[#This Row],[Part of Bronx County Vote Results]]</f>
        <v>24</v>
      </c>
      <c r="D15" s="14"/>
    </row>
    <row r="16" spans="1:4" hidden="1" x14ac:dyDescent="0.2">
      <c r="A16" s="4" t="s">
        <v>4</v>
      </c>
      <c r="B16" s="6">
        <f>SUBTOTAL(109,GovByAssemblyDistrict78General[Total Votes by Candidate])</f>
        <v>19215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2CC46-A2E3-4741-8904-C3E998E0EEFC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101</v>
      </c>
    </row>
    <row r="2" spans="1:4" ht="24.95" customHeight="1" x14ac:dyDescent="0.2">
      <c r="A2" s="7" t="s">
        <v>12</v>
      </c>
      <c r="B2" s="8" t="s">
        <v>99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24555</v>
      </c>
      <c r="C3" s="12">
        <f>GovByAssemblyDistrict79General[[#This Row],[Part of Bronx County Vote Results]]</f>
        <v>24555</v>
      </c>
      <c r="D3" s="13">
        <f>SUM(C3,C7,C8,C9)</f>
        <v>25043</v>
      </c>
    </row>
    <row r="4" spans="1:4" x14ac:dyDescent="0.2">
      <c r="A4" s="2" t="s">
        <v>14</v>
      </c>
      <c r="B4" s="3">
        <v>719</v>
      </c>
      <c r="C4" s="12">
        <f>GovByAssemblyDistrict79General[[#This Row],[Part of Bronx County Vote Results]]</f>
        <v>719</v>
      </c>
      <c r="D4" s="13">
        <f>SUM(C4,C5,C10)</f>
        <v>812</v>
      </c>
    </row>
    <row r="5" spans="1:4" x14ac:dyDescent="0.2">
      <c r="A5" s="2" t="s">
        <v>15</v>
      </c>
      <c r="B5" s="3">
        <v>75</v>
      </c>
      <c r="C5" s="12">
        <f>GovByAssemblyDistrict79General[[#This Row],[Part of Bronx County Vote Results]]</f>
        <v>75</v>
      </c>
      <c r="D5" s="14"/>
    </row>
    <row r="6" spans="1:4" x14ac:dyDescent="0.2">
      <c r="A6" s="2" t="s">
        <v>6</v>
      </c>
      <c r="B6" s="3">
        <v>139</v>
      </c>
      <c r="C6" s="12">
        <f>GovByAssemblyDistrict79General[[#This Row],[Part of Bronx County Vote Results]]</f>
        <v>139</v>
      </c>
      <c r="D6" s="13">
        <f>GovByAssemblyDistrict79General[[#This Row],[Total Votes by Party]]</f>
        <v>139</v>
      </c>
    </row>
    <row r="7" spans="1:4" x14ac:dyDescent="0.2">
      <c r="A7" s="2" t="s">
        <v>7</v>
      </c>
      <c r="B7" s="3">
        <v>289</v>
      </c>
      <c r="C7" s="12">
        <f>GovByAssemblyDistrict79General[[#This Row],[Part of Bronx County Vote Results]]</f>
        <v>289</v>
      </c>
      <c r="D7" s="14"/>
    </row>
    <row r="8" spans="1:4" x14ac:dyDescent="0.2">
      <c r="A8" s="2" t="s">
        <v>8</v>
      </c>
      <c r="B8" s="3">
        <v>171</v>
      </c>
      <c r="C8" s="12">
        <f>GovByAssemblyDistrict79General[[#This Row],[Part of Bronx County Vote Results]]</f>
        <v>171</v>
      </c>
      <c r="D8" s="14"/>
    </row>
    <row r="9" spans="1:4" x14ac:dyDescent="0.2">
      <c r="A9" s="2" t="s">
        <v>9</v>
      </c>
      <c r="B9" s="3">
        <v>28</v>
      </c>
      <c r="C9" s="12">
        <f>GovByAssemblyDistrict79General[[#This Row],[Part of Bronx County Vote Results]]</f>
        <v>28</v>
      </c>
      <c r="D9" s="14"/>
    </row>
    <row r="10" spans="1:4" x14ac:dyDescent="0.2">
      <c r="A10" s="2" t="s">
        <v>16</v>
      </c>
      <c r="B10" s="3">
        <v>18</v>
      </c>
      <c r="C10" s="12">
        <f>GovByAssemblyDistrict79General[[#This Row],[Part of Bronx County Vote Results]]</f>
        <v>18</v>
      </c>
      <c r="D10" s="14"/>
    </row>
    <row r="11" spans="1:4" x14ac:dyDescent="0.2">
      <c r="A11" s="2" t="s">
        <v>10</v>
      </c>
      <c r="B11" s="3">
        <v>87</v>
      </c>
      <c r="C11" s="12">
        <f>GovByAssemblyDistrict79General[[#This Row],[Part of Bronx County Vote Results]]</f>
        <v>87</v>
      </c>
      <c r="D11" s="13">
        <f>GovByAssemblyDistrict79General[[#This Row],[Total Votes by Party]]</f>
        <v>87</v>
      </c>
    </row>
    <row r="12" spans="1:4" x14ac:dyDescent="0.2">
      <c r="A12" s="4" t="s">
        <v>11</v>
      </c>
      <c r="B12" s="5">
        <v>36</v>
      </c>
      <c r="C12" s="12">
        <f>GovByAssemblyDistrict79General[[#This Row],[Part of Bronx County Vote Results]]</f>
        <v>36</v>
      </c>
      <c r="D12" s="13">
        <f>GovByAssemblyDistrict79General[[#This Row],[Total Votes by Party]]</f>
        <v>36</v>
      </c>
    </row>
    <row r="13" spans="1:4" x14ac:dyDescent="0.2">
      <c r="A13" s="4" t="s">
        <v>0</v>
      </c>
      <c r="B13" s="5">
        <v>330</v>
      </c>
      <c r="C13" s="12">
        <f>GovByAssemblyDistrict79General[[#This Row],[Part of Bronx County Vote Results]]</f>
        <v>330</v>
      </c>
      <c r="D13" s="14"/>
    </row>
    <row r="14" spans="1:4" x14ac:dyDescent="0.2">
      <c r="A14" s="4" t="s">
        <v>1</v>
      </c>
      <c r="B14" s="5">
        <v>0</v>
      </c>
      <c r="C14" s="12">
        <f>GovByAssemblyDistrict79General[[#This Row],[Part of Bronx County Vote Results]]</f>
        <v>0</v>
      </c>
      <c r="D14" s="14"/>
    </row>
    <row r="15" spans="1:4" x14ac:dyDescent="0.2">
      <c r="A15" s="4" t="s">
        <v>2</v>
      </c>
      <c r="B15" s="5">
        <v>15</v>
      </c>
      <c r="C15" s="12">
        <f>GovByAssemblyDistrict79General[[#This Row],[Part of Bronx County Vote Results]]</f>
        <v>15</v>
      </c>
      <c r="D15" s="14"/>
    </row>
    <row r="16" spans="1:4" hidden="1" x14ac:dyDescent="0.2">
      <c r="A16" s="4" t="s">
        <v>4</v>
      </c>
      <c r="B16" s="6">
        <f>SUBTOTAL(109,GovByAssemblyDistrict79General[Total Votes by Candidate])</f>
        <v>26117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7D50D-754A-42AC-90A7-7E4739E8BB78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25</v>
      </c>
    </row>
    <row r="2" spans="1:4" ht="24.95" customHeight="1" x14ac:dyDescent="0.2">
      <c r="A2" s="7" t="s">
        <v>12</v>
      </c>
      <c r="B2" s="8" t="s">
        <v>13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21461</v>
      </c>
      <c r="C3" s="12">
        <f>GovByAssemblyDistrict8General[[#This Row],[Part of Suffolk County Vote Results]]</f>
        <v>21461</v>
      </c>
      <c r="D3" s="13">
        <f>SUM(C3,C7,C8,C9)</f>
        <v>22638</v>
      </c>
    </row>
    <row r="4" spans="1:4" x14ac:dyDescent="0.2">
      <c r="A4" s="2" t="s">
        <v>14</v>
      </c>
      <c r="B4" s="3">
        <v>26706</v>
      </c>
      <c r="C4" s="12">
        <f>GovByAssemblyDistrict8General[[#This Row],[Part of Suffolk County Vote Results]]</f>
        <v>26706</v>
      </c>
      <c r="D4" s="13">
        <f>SUM(C4,C5,C10)</f>
        <v>30019</v>
      </c>
    </row>
    <row r="5" spans="1:4" x14ac:dyDescent="0.2">
      <c r="A5" s="2" t="s">
        <v>15</v>
      </c>
      <c r="B5" s="3">
        <v>3135</v>
      </c>
      <c r="C5" s="12">
        <f>GovByAssemblyDistrict8General[[#This Row],[Part of Suffolk County Vote Results]]</f>
        <v>3135</v>
      </c>
      <c r="D5" s="14"/>
    </row>
    <row r="6" spans="1:4" x14ac:dyDescent="0.2">
      <c r="A6" s="2" t="s">
        <v>6</v>
      </c>
      <c r="B6" s="3">
        <v>440</v>
      </c>
      <c r="C6" s="12">
        <f>GovByAssemblyDistrict8General[[#This Row],[Part of Suffolk County Vote Results]]</f>
        <v>440</v>
      </c>
      <c r="D6" s="13">
        <f>GovByAssemblyDistrict8General[[#This Row],[Total Votes by Party]]</f>
        <v>440</v>
      </c>
    </row>
    <row r="7" spans="1:4" x14ac:dyDescent="0.2">
      <c r="A7" s="2" t="s">
        <v>7</v>
      </c>
      <c r="B7" s="3">
        <v>420</v>
      </c>
      <c r="C7" s="12">
        <f>GovByAssemblyDistrict8General[[#This Row],[Part of Suffolk County Vote Results]]</f>
        <v>420</v>
      </c>
      <c r="D7" s="14"/>
    </row>
    <row r="8" spans="1:4" x14ac:dyDescent="0.2">
      <c r="A8" s="2" t="s">
        <v>8</v>
      </c>
      <c r="B8" s="3">
        <v>533</v>
      </c>
      <c r="C8" s="12">
        <f>GovByAssemblyDistrict8General[[#This Row],[Part of Suffolk County Vote Results]]</f>
        <v>533</v>
      </c>
      <c r="D8" s="14"/>
    </row>
    <row r="9" spans="1:4" x14ac:dyDescent="0.2">
      <c r="A9" s="2" t="s">
        <v>9</v>
      </c>
      <c r="B9" s="3">
        <v>224</v>
      </c>
      <c r="C9" s="12">
        <f>GovByAssemblyDistrict8General[[#This Row],[Part of Suffolk County Vote Results]]</f>
        <v>224</v>
      </c>
      <c r="D9" s="14"/>
    </row>
    <row r="10" spans="1:4" x14ac:dyDescent="0.2">
      <c r="A10" s="2" t="s">
        <v>16</v>
      </c>
      <c r="B10" s="3">
        <v>178</v>
      </c>
      <c r="C10" s="12">
        <f>GovByAssemblyDistrict8General[[#This Row],[Part of Suffolk County Vote Results]]</f>
        <v>178</v>
      </c>
      <c r="D10" s="14"/>
    </row>
    <row r="11" spans="1:4" x14ac:dyDescent="0.2">
      <c r="A11" s="2" t="s">
        <v>10</v>
      </c>
      <c r="B11" s="3">
        <v>375</v>
      </c>
      <c r="C11" s="12">
        <f>GovByAssemblyDistrict8General[[#This Row],[Part of Suffolk County Vote Results]]</f>
        <v>375</v>
      </c>
      <c r="D11" s="13">
        <f>GovByAssemblyDistrict8General[[#This Row],[Total Votes by Party]]</f>
        <v>375</v>
      </c>
    </row>
    <row r="12" spans="1:4" x14ac:dyDescent="0.2">
      <c r="A12" s="4" t="s">
        <v>11</v>
      </c>
      <c r="B12" s="5">
        <v>261</v>
      </c>
      <c r="C12" s="12">
        <f>GovByAssemblyDistrict8General[[#This Row],[Part of Suffolk County Vote Results]]</f>
        <v>261</v>
      </c>
      <c r="D12" s="13">
        <f>GovByAssemblyDistrict8General[[#This Row],[Total Votes by Party]]</f>
        <v>261</v>
      </c>
    </row>
    <row r="13" spans="1:4" x14ac:dyDescent="0.2">
      <c r="A13" s="4" t="s">
        <v>0</v>
      </c>
      <c r="B13" s="5">
        <v>712</v>
      </c>
      <c r="C13" s="12">
        <f>GovByAssemblyDistrict8General[[#This Row],[Part of Suffolk County Vote Results]]</f>
        <v>712</v>
      </c>
      <c r="D13" s="14"/>
    </row>
    <row r="14" spans="1:4" x14ac:dyDescent="0.2">
      <c r="A14" s="4" t="s">
        <v>1</v>
      </c>
      <c r="B14" s="5">
        <v>35</v>
      </c>
      <c r="C14" s="12">
        <f>GovByAssemblyDistrict8General[[#This Row],[Part of Suffolk County Vote Results]]</f>
        <v>35</v>
      </c>
      <c r="D14" s="14"/>
    </row>
    <row r="15" spans="1:4" x14ac:dyDescent="0.2">
      <c r="A15" s="4" t="s">
        <v>2</v>
      </c>
      <c r="B15" s="5">
        <v>10</v>
      </c>
      <c r="C15" s="12">
        <f>GovByAssemblyDistrict8General[[#This Row],[Part of Suffolk County Vote Results]]</f>
        <v>10</v>
      </c>
      <c r="D15" s="14"/>
    </row>
    <row r="16" spans="1:4" hidden="1" x14ac:dyDescent="0.2">
      <c r="A16" s="4" t="s">
        <v>4</v>
      </c>
      <c r="B16" s="6">
        <f>SUBTOTAL(109,GovByAssemblyDistrict8General[Total Votes by Candidate])</f>
        <v>53733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C4742-3FAE-4C81-BE52-4F15EDF63032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102</v>
      </c>
    </row>
    <row r="2" spans="1:4" ht="24.95" customHeight="1" x14ac:dyDescent="0.2">
      <c r="A2" s="7" t="s">
        <v>12</v>
      </c>
      <c r="B2" s="8" t="s">
        <v>99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21156</v>
      </c>
      <c r="C3" s="12">
        <f>GovByAssemblyDistrict80General[[#This Row],[Part of Bronx County Vote Results]]</f>
        <v>21156</v>
      </c>
      <c r="D3" s="13">
        <f>SUM(C3,C7,C8,C9)</f>
        <v>21818</v>
      </c>
    </row>
    <row r="4" spans="1:4" x14ac:dyDescent="0.2">
      <c r="A4" s="2" t="s">
        <v>14</v>
      </c>
      <c r="B4" s="3">
        <v>2997</v>
      </c>
      <c r="C4" s="12">
        <f>GovByAssemblyDistrict80General[[#This Row],[Part of Bronx County Vote Results]]</f>
        <v>2997</v>
      </c>
      <c r="D4" s="13">
        <f>SUM(C4,C5,C10)</f>
        <v>3361</v>
      </c>
    </row>
    <row r="5" spans="1:4" x14ac:dyDescent="0.2">
      <c r="A5" s="2" t="s">
        <v>15</v>
      </c>
      <c r="B5" s="3">
        <v>331</v>
      </c>
      <c r="C5" s="12">
        <f>GovByAssemblyDistrict80General[[#This Row],[Part of Bronx County Vote Results]]</f>
        <v>331</v>
      </c>
      <c r="D5" s="14"/>
    </row>
    <row r="6" spans="1:4" x14ac:dyDescent="0.2">
      <c r="A6" s="2" t="s">
        <v>6</v>
      </c>
      <c r="B6" s="3">
        <v>323</v>
      </c>
      <c r="C6" s="12">
        <f>GovByAssemblyDistrict80General[[#This Row],[Part of Bronx County Vote Results]]</f>
        <v>323</v>
      </c>
      <c r="D6" s="13">
        <f>GovByAssemblyDistrict80General[[#This Row],[Total Votes by Party]]</f>
        <v>323</v>
      </c>
    </row>
    <row r="7" spans="1:4" x14ac:dyDescent="0.2">
      <c r="A7" s="2" t="s">
        <v>7</v>
      </c>
      <c r="B7" s="3">
        <v>389</v>
      </c>
      <c r="C7" s="12">
        <f>GovByAssemblyDistrict80General[[#This Row],[Part of Bronx County Vote Results]]</f>
        <v>389</v>
      </c>
      <c r="D7" s="14"/>
    </row>
    <row r="8" spans="1:4" x14ac:dyDescent="0.2">
      <c r="A8" s="2" t="s">
        <v>8</v>
      </c>
      <c r="B8" s="3">
        <v>223</v>
      </c>
      <c r="C8" s="12">
        <f>GovByAssemblyDistrict80General[[#This Row],[Part of Bronx County Vote Results]]</f>
        <v>223</v>
      </c>
      <c r="D8" s="14"/>
    </row>
    <row r="9" spans="1:4" x14ac:dyDescent="0.2">
      <c r="A9" s="2" t="s">
        <v>9</v>
      </c>
      <c r="B9" s="3">
        <v>50</v>
      </c>
      <c r="C9" s="12">
        <f>GovByAssemblyDistrict80General[[#This Row],[Part of Bronx County Vote Results]]</f>
        <v>50</v>
      </c>
      <c r="D9" s="14"/>
    </row>
    <row r="10" spans="1:4" x14ac:dyDescent="0.2">
      <c r="A10" s="2" t="s">
        <v>16</v>
      </c>
      <c r="B10" s="3">
        <v>33</v>
      </c>
      <c r="C10" s="12">
        <f>GovByAssemblyDistrict80General[[#This Row],[Part of Bronx County Vote Results]]</f>
        <v>33</v>
      </c>
      <c r="D10" s="14"/>
    </row>
    <row r="11" spans="1:4" x14ac:dyDescent="0.2">
      <c r="A11" s="2" t="s">
        <v>10</v>
      </c>
      <c r="B11" s="3">
        <v>113</v>
      </c>
      <c r="C11" s="12">
        <f>GovByAssemblyDistrict80General[[#This Row],[Part of Bronx County Vote Results]]</f>
        <v>113</v>
      </c>
      <c r="D11" s="13">
        <f>GovByAssemblyDistrict80General[[#This Row],[Total Votes by Party]]</f>
        <v>113</v>
      </c>
    </row>
    <row r="12" spans="1:4" x14ac:dyDescent="0.2">
      <c r="A12" s="4" t="s">
        <v>11</v>
      </c>
      <c r="B12" s="5">
        <v>79</v>
      </c>
      <c r="C12" s="12">
        <f>GovByAssemblyDistrict80General[[#This Row],[Part of Bronx County Vote Results]]</f>
        <v>79</v>
      </c>
      <c r="D12" s="13">
        <f>GovByAssemblyDistrict80General[[#This Row],[Total Votes by Party]]</f>
        <v>79</v>
      </c>
    </row>
    <row r="13" spans="1:4" x14ac:dyDescent="0.2">
      <c r="A13" s="4" t="s">
        <v>0</v>
      </c>
      <c r="B13" s="5">
        <v>365</v>
      </c>
      <c r="C13" s="12">
        <f>GovByAssemblyDistrict80General[[#This Row],[Part of Bronx County Vote Results]]</f>
        <v>365</v>
      </c>
      <c r="D13" s="14"/>
    </row>
    <row r="14" spans="1:4" x14ac:dyDescent="0.2">
      <c r="A14" s="4" t="s">
        <v>1</v>
      </c>
      <c r="B14" s="5">
        <v>0</v>
      </c>
      <c r="C14" s="12">
        <f>GovByAssemblyDistrict80General[[#This Row],[Part of Bronx County Vote Results]]</f>
        <v>0</v>
      </c>
      <c r="D14" s="14"/>
    </row>
    <row r="15" spans="1:4" x14ac:dyDescent="0.2">
      <c r="A15" s="4" t="s">
        <v>2</v>
      </c>
      <c r="B15" s="5">
        <v>26</v>
      </c>
      <c r="C15" s="12">
        <f>GovByAssemblyDistrict80General[[#This Row],[Part of Bronx County Vote Results]]</f>
        <v>26</v>
      </c>
      <c r="D15" s="14"/>
    </row>
    <row r="16" spans="1:4" hidden="1" x14ac:dyDescent="0.2">
      <c r="A16" s="4" t="s">
        <v>4</v>
      </c>
      <c r="B16" s="6">
        <f>SUBTOTAL(109,GovByAssemblyDistrict80General[Total Votes by Candidate])</f>
        <v>25694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086F4-E329-4170-8A7F-E8FD43D8F336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103</v>
      </c>
    </row>
    <row r="2" spans="1:4" ht="24.95" customHeight="1" x14ac:dyDescent="0.2">
      <c r="A2" s="7" t="s">
        <v>12</v>
      </c>
      <c r="B2" s="8" t="s">
        <v>99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27380</v>
      </c>
      <c r="C3" s="12">
        <f>GovByAssemblyDistrict81General[[#This Row],[Part of Bronx County Vote Results]]</f>
        <v>27380</v>
      </c>
      <c r="D3" s="13">
        <f>SUM(C3,C7,C8,C9)</f>
        <v>28917</v>
      </c>
    </row>
    <row r="4" spans="1:4" x14ac:dyDescent="0.2">
      <c r="A4" s="2" t="s">
        <v>14</v>
      </c>
      <c r="B4" s="3">
        <v>4236</v>
      </c>
      <c r="C4" s="12">
        <f>GovByAssemblyDistrict81General[[#This Row],[Part of Bronx County Vote Results]]</f>
        <v>4236</v>
      </c>
      <c r="D4" s="13">
        <f>SUM(C4,C5,C10)</f>
        <v>4815</v>
      </c>
    </row>
    <row r="5" spans="1:4" x14ac:dyDescent="0.2">
      <c r="A5" s="2" t="s">
        <v>15</v>
      </c>
      <c r="B5" s="3">
        <v>519</v>
      </c>
      <c r="C5" s="12">
        <f>GovByAssemblyDistrict81General[[#This Row],[Part of Bronx County Vote Results]]</f>
        <v>519</v>
      </c>
      <c r="D5" s="14"/>
    </row>
    <row r="6" spans="1:4" x14ac:dyDescent="0.2">
      <c r="A6" s="2" t="s">
        <v>6</v>
      </c>
      <c r="B6" s="3">
        <v>679</v>
      </c>
      <c r="C6" s="12">
        <f>GovByAssemblyDistrict81General[[#This Row],[Part of Bronx County Vote Results]]</f>
        <v>679</v>
      </c>
      <c r="D6" s="13">
        <f>GovByAssemblyDistrict81General[[#This Row],[Total Votes by Party]]</f>
        <v>679</v>
      </c>
    </row>
    <row r="7" spans="1:4" x14ac:dyDescent="0.2">
      <c r="A7" s="2" t="s">
        <v>7</v>
      </c>
      <c r="B7" s="3">
        <v>1084</v>
      </c>
      <c r="C7" s="12">
        <f>GovByAssemblyDistrict81General[[#This Row],[Part of Bronx County Vote Results]]</f>
        <v>1084</v>
      </c>
      <c r="D7" s="14"/>
    </row>
    <row r="8" spans="1:4" x14ac:dyDescent="0.2">
      <c r="A8" s="2" t="s">
        <v>8</v>
      </c>
      <c r="B8" s="3">
        <v>360</v>
      </c>
      <c r="C8" s="12">
        <f>GovByAssemblyDistrict81General[[#This Row],[Part of Bronx County Vote Results]]</f>
        <v>360</v>
      </c>
      <c r="D8" s="14"/>
    </row>
    <row r="9" spans="1:4" x14ac:dyDescent="0.2">
      <c r="A9" s="2" t="s">
        <v>9</v>
      </c>
      <c r="B9" s="3">
        <v>93</v>
      </c>
      <c r="C9" s="12">
        <f>GovByAssemblyDistrict81General[[#This Row],[Part of Bronx County Vote Results]]</f>
        <v>93</v>
      </c>
      <c r="D9" s="14"/>
    </row>
    <row r="10" spans="1:4" x14ac:dyDescent="0.2">
      <c r="A10" s="2" t="s">
        <v>16</v>
      </c>
      <c r="B10" s="3">
        <v>60</v>
      </c>
      <c r="C10" s="12">
        <f>GovByAssemblyDistrict81General[[#This Row],[Part of Bronx County Vote Results]]</f>
        <v>60</v>
      </c>
      <c r="D10" s="14"/>
    </row>
    <row r="11" spans="1:4" x14ac:dyDescent="0.2">
      <c r="A11" s="2" t="s">
        <v>10</v>
      </c>
      <c r="B11" s="3">
        <v>223</v>
      </c>
      <c r="C11" s="12">
        <f>GovByAssemblyDistrict81General[[#This Row],[Part of Bronx County Vote Results]]</f>
        <v>223</v>
      </c>
      <c r="D11" s="13">
        <f>GovByAssemblyDistrict81General[[#This Row],[Total Votes by Party]]</f>
        <v>223</v>
      </c>
    </row>
    <row r="12" spans="1:4" x14ac:dyDescent="0.2">
      <c r="A12" s="4" t="s">
        <v>11</v>
      </c>
      <c r="B12" s="5">
        <v>150</v>
      </c>
      <c r="C12" s="12">
        <f>GovByAssemblyDistrict81General[[#This Row],[Part of Bronx County Vote Results]]</f>
        <v>150</v>
      </c>
      <c r="D12" s="13">
        <f>GovByAssemblyDistrict81General[[#This Row],[Total Votes by Party]]</f>
        <v>150</v>
      </c>
    </row>
    <row r="13" spans="1:4" x14ac:dyDescent="0.2">
      <c r="A13" s="4" t="s">
        <v>0</v>
      </c>
      <c r="B13" s="5">
        <v>727</v>
      </c>
      <c r="C13" s="12">
        <f>GovByAssemblyDistrict81General[[#This Row],[Part of Bronx County Vote Results]]</f>
        <v>727</v>
      </c>
      <c r="D13" s="14"/>
    </row>
    <row r="14" spans="1:4" x14ac:dyDescent="0.2">
      <c r="A14" s="4" t="s">
        <v>1</v>
      </c>
      <c r="B14" s="5">
        <v>0</v>
      </c>
      <c r="C14" s="12">
        <f>GovByAssemblyDistrict81General[[#This Row],[Part of Bronx County Vote Results]]</f>
        <v>0</v>
      </c>
      <c r="D14" s="14"/>
    </row>
    <row r="15" spans="1:4" x14ac:dyDescent="0.2">
      <c r="A15" s="4" t="s">
        <v>2</v>
      </c>
      <c r="B15" s="5">
        <v>66</v>
      </c>
      <c r="C15" s="12">
        <f>GovByAssemblyDistrict81General[[#This Row],[Part of Bronx County Vote Results]]</f>
        <v>66</v>
      </c>
      <c r="D15" s="14"/>
    </row>
    <row r="16" spans="1:4" hidden="1" x14ac:dyDescent="0.2">
      <c r="A16" s="4" t="s">
        <v>4</v>
      </c>
      <c r="B16" s="6">
        <f>SUBTOTAL(109,GovByAssemblyDistrict81General[Total Votes by Candidate])</f>
        <v>34784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8EC8A-BCE1-4DBD-9C1F-4C56F53D4733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104</v>
      </c>
    </row>
    <row r="2" spans="1:4" ht="24.95" customHeight="1" x14ac:dyDescent="0.2">
      <c r="A2" s="7" t="s">
        <v>12</v>
      </c>
      <c r="B2" s="8" t="s">
        <v>99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27078</v>
      </c>
      <c r="C3" s="12">
        <f>GovByAssemblyDistrict82General[[#This Row],[Part of Bronx County Vote Results]]</f>
        <v>27078</v>
      </c>
      <c r="D3" s="13">
        <f>SUM(C3,C7,C8,C9)</f>
        <v>28019</v>
      </c>
    </row>
    <row r="4" spans="1:4" x14ac:dyDescent="0.2">
      <c r="A4" s="2" t="s">
        <v>14</v>
      </c>
      <c r="B4" s="3">
        <v>6410</v>
      </c>
      <c r="C4" s="12">
        <f>GovByAssemblyDistrict82General[[#This Row],[Part of Bronx County Vote Results]]</f>
        <v>6410</v>
      </c>
      <c r="D4" s="13">
        <f>SUM(C4,C5,C10)</f>
        <v>7272</v>
      </c>
    </row>
    <row r="5" spans="1:4" x14ac:dyDescent="0.2">
      <c r="A5" s="2" t="s">
        <v>15</v>
      </c>
      <c r="B5" s="3">
        <v>810</v>
      </c>
      <c r="C5" s="12">
        <f>GovByAssemblyDistrict82General[[#This Row],[Part of Bronx County Vote Results]]</f>
        <v>810</v>
      </c>
      <c r="D5" s="14"/>
    </row>
    <row r="6" spans="1:4" x14ac:dyDescent="0.2">
      <c r="A6" s="2" t="s">
        <v>6</v>
      </c>
      <c r="B6" s="3">
        <v>365</v>
      </c>
      <c r="C6" s="12">
        <f>GovByAssemblyDistrict82General[[#This Row],[Part of Bronx County Vote Results]]</f>
        <v>365</v>
      </c>
      <c r="D6" s="13">
        <f>GovByAssemblyDistrict82General[[#This Row],[Total Votes by Party]]</f>
        <v>365</v>
      </c>
    </row>
    <row r="7" spans="1:4" x14ac:dyDescent="0.2">
      <c r="A7" s="2" t="s">
        <v>7</v>
      </c>
      <c r="B7" s="3">
        <v>525</v>
      </c>
      <c r="C7" s="12">
        <f>GovByAssemblyDistrict82General[[#This Row],[Part of Bronx County Vote Results]]</f>
        <v>525</v>
      </c>
      <c r="D7" s="14"/>
    </row>
    <row r="8" spans="1:4" x14ac:dyDescent="0.2">
      <c r="A8" s="2" t="s">
        <v>8</v>
      </c>
      <c r="B8" s="3">
        <v>346</v>
      </c>
      <c r="C8" s="12">
        <f>GovByAssemblyDistrict82General[[#This Row],[Part of Bronx County Vote Results]]</f>
        <v>346</v>
      </c>
      <c r="D8" s="14"/>
    </row>
    <row r="9" spans="1:4" x14ac:dyDescent="0.2">
      <c r="A9" s="2" t="s">
        <v>9</v>
      </c>
      <c r="B9" s="3">
        <v>70</v>
      </c>
      <c r="C9" s="12">
        <f>GovByAssemblyDistrict82General[[#This Row],[Part of Bronx County Vote Results]]</f>
        <v>70</v>
      </c>
      <c r="D9" s="14"/>
    </row>
    <row r="10" spans="1:4" x14ac:dyDescent="0.2">
      <c r="A10" s="2" t="s">
        <v>16</v>
      </c>
      <c r="B10" s="3">
        <v>52</v>
      </c>
      <c r="C10" s="12">
        <f>GovByAssemblyDistrict82General[[#This Row],[Part of Bronx County Vote Results]]</f>
        <v>52</v>
      </c>
      <c r="D10" s="14"/>
    </row>
    <row r="11" spans="1:4" x14ac:dyDescent="0.2">
      <c r="A11" s="2" t="s">
        <v>10</v>
      </c>
      <c r="B11" s="3">
        <v>159</v>
      </c>
      <c r="C11" s="12">
        <f>GovByAssemblyDistrict82General[[#This Row],[Part of Bronx County Vote Results]]</f>
        <v>159</v>
      </c>
      <c r="D11" s="13">
        <f>GovByAssemblyDistrict82General[[#This Row],[Total Votes by Party]]</f>
        <v>159</v>
      </c>
    </row>
    <row r="12" spans="1:4" x14ac:dyDescent="0.2">
      <c r="A12" s="4" t="s">
        <v>11</v>
      </c>
      <c r="B12" s="5">
        <v>78</v>
      </c>
      <c r="C12" s="12">
        <f>GovByAssemblyDistrict82General[[#This Row],[Part of Bronx County Vote Results]]</f>
        <v>78</v>
      </c>
      <c r="D12" s="13">
        <f>GovByAssemblyDistrict82General[[#This Row],[Total Votes by Party]]</f>
        <v>78</v>
      </c>
    </row>
    <row r="13" spans="1:4" x14ac:dyDescent="0.2">
      <c r="A13" s="4" t="s">
        <v>0</v>
      </c>
      <c r="B13" s="5">
        <v>608</v>
      </c>
      <c r="C13" s="12">
        <f>GovByAssemblyDistrict82General[[#This Row],[Part of Bronx County Vote Results]]</f>
        <v>608</v>
      </c>
      <c r="D13" s="14"/>
    </row>
    <row r="14" spans="1:4" x14ac:dyDescent="0.2">
      <c r="A14" s="4" t="s">
        <v>1</v>
      </c>
      <c r="B14" s="5">
        <v>0</v>
      </c>
      <c r="C14" s="12">
        <f>GovByAssemblyDistrict82General[[#This Row],[Part of Bronx County Vote Results]]</f>
        <v>0</v>
      </c>
      <c r="D14" s="14"/>
    </row>
    <row r="15" spans="1:4" x14ac:dyDescent="0.2">
      <c r="A15" s="4" t="s">
        <v>2</v>
      </c>
      <c r="B15" s="5">
        <v>36</v>
      </c>
      <c r="C15" s="12">
        <f>GovByAssemblyDistrict82General[[#This Row],[Part of Bronx County Vote Results]]</f>
        <v>36</v>
      </c>
      <c r="D15" s="14"/>
    </row>
    <row r="16" spans="1:4" hidden="1" x14ac:dyDescent="0.2">
      <c r="A16" s="4" t="s">
        <v>4</v>
      </c>
      <c r="B16" s="6">
        <f>SUBTOTAL(109,GovByAssemblyDistrict82General[Total Votes by Candidate])</f>
        <v>35893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96B18-549B-4C61-B946-2356CB370954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105</v>
      </c>
    </row>
    <row r="2" spans="1:4" ht="24.95" customHeight="1" x14ac:dyDescent="0.2">
      <c r="A2" s="7" t="s">
        <v>12</v>
      </c>
      <c r="B2" s="8" t="s">
        <v>99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29358</v>
      </c>
      <c r="C3" s="12">
        <f>GovByAssemblyDistrict83General[[#This Row],[Part of Bronx County Vote Results]]</f>
        <v>29358</v>
      </c>
      <c r="D3" s="13">
        <f>SUM(C3,C7,C8,C9)</f>
        <v>29846</v>
      </c>
    </row>
    <row r="4" spans="1:4" x14ac:dyDescent="0.2">
      <c r="A4" s="2" t="s">
        <v>14</v>
      </c>
      <c r="B4" s="3">
        <v>717</v>
      </c>
      <c r="C4" s="12">
        <f>GovByAssemblyDistrict83General[[#This Row],[Part of Bronx County Vote Results]]</f>
        <v>717</v>
      </c>
      <c r="D4" s="13">
        <f>SUM(C4,C5,C10)</f>
        <v>839</v>
      </c>
    </row>
    <row r="5" spans="1:4" x14ac:dyDescent="0.2">
      <c r="A5" s="2" t="s">
        <v>15</v>
      </c>
      <c r="B5" s="3">
        <v>106</v>
      </c>
      <c r="C5" s="12">
        <f>GovByAssemblyDistrict83General[[#This Row],[Part of Bronx County Vote Results]]</f>
        <v>106</v>
      </c>
      <c r="D5" s="14"/>
    </row>
    <row r="6" spans="1:4" x14ac:dyDescent="0.2">
      <c r="A6" s="2" t="s">
        <v>6</v>
      </c>
      <c r="B6" s="3">
        <v>155</v>
      </c>
      <c r="C6" s="12">
        <f>GovByAssemblyDistrict83General[[#This Row],[Part of Bronx County Vote Results]]</f>
        <v>155</v>
      </c>
      <c r="D6" s="13">
        <f>GovByAssemblyDistrict83General[[#This Row],[Total Votes by Party]]</f>
        <v>155</v>
      </c>
    </row>
    <row r="7" spans="1:4" x14ac:dyDescent="0.2">
      <c r="A7" s="2" t="s">
        <v>7</v>
      </c>
      <c r="B7" s="3">
        <v>263</v>
      </c>
      <c r="C7" s="12">
        <f>GovByAssemblyDistrict83General[[#This Row],[Part of Bronx County Vote Results]]</f>
        <v>263</v>
      </c>
      <c r="D7" s="14"/>
    </row>
    <row r="8" spans="1:4" x14ac:dyDescent="0.2">
      <c r="A8" s="2" t="s">
        <v>8</v>
      </c>
      <c r="B8" s="3">
        <v>194</v>
      </c>
      <c r="C8" s="12">
        <f>GovByAssemblyDistrict83General[[#This Row],[Part of Bronx County Vote Results]]</f>
        <v>194</v>
      </c>
      <c r="D8" s="14"/>
    </row>
    <row r="9" spans="1:4" x14ac:dyDescent="0.2">
      <c r="A9" s="2" t="s">
        <v>9</v>
      </c>
      <c r="B9" s="3">
        <v>31</v>
      </c>
      <c r="C9" s="12">
        <f>GovByAssemblyDistrict83General[[#This Row],[Part of Bronx County Vote Results]]</f>
        <v>31</v>
      </c>
      <c r="D9" s="14"/>
    </row>
    <row r="10" spans="1:4" x14ac:dyDescent="0.2">
      <c r="A10" s="2" t="s">
        <v>16</v>
      </c>
      <c r="B10" s="3">
        <v>16</v>
      </c>
      <c r="C10" s="12">
        <f>GovByAssemblyDistrict83General[[#This Row],[Part of Bronx County Vote Results]]</f>
        <v>16</v>
      </c>
      <c r="D10" s="14"/>
    </row>
    <row r="11" spans="1:4" x14ac:dyDescent="0.2">
      <c r="A11" s="2" t="s">
        <v>10</v>
      </c>
      <c r="B11" s="3">
        <v>66</v>
      </c>
      <c r="C11" s="12">
        <f>GovByAssemblyDistrict83General[[#This Row],[Part of Bronx County Vote Results]]</f>
        <v>66</v>
      </c>
      <c r="D11" s="13">
        <f>GovByAssemblyDistrict83General[[#This Row],[Total Votes by Party]]</f>
        <v>66</v>
      </c>
    </row>
    <row r="12" spans="1:4" x14ac:dyDescent="0.2">
      <c r="A12" s="4" t="s">
        <v>11</v>
      </c>
      <c r="B12" s="5">
        <v>33</v>
      </c>
      <c r="C12" s="12">
        <f>GovByAssemblyDistrict83General[[#This Row],[Part of Bronx County Vote Results]]</f>
        <v>33</v>
      </c>
      <c r="D12" s="13">
        <f>GovByAssemblyDistrict83General[[#This Row],[Total Votes by Party]]</f>
        <v>33</v>
      </c>
    </row>
    <row r="13" spans="1:4" x14ac:dyDescent="0.2">
      <c r="A13" s="4" t="s">
        <v>0</v>
      </c>
      <c r="B13" s="5">
        <v>330</v>
      </c>
      <c r="C13" s="12">
        <f>GovByAssemblyDistrict83General[[#This Row],[Part of Bronx County Vote Results]]</f>
        <v>330</v>
      </c>
      <c r="D13" s="14"/>
    </row>
    <row r="14" spans="1:4" x14ac:dyDescent="0.2">
      <c r="A14" s="4" t="s">
        <v>1</v>
      </c>
      <c r="B14" s="5">
        <v>0</v>
      </c>
      <c r="C14" s="12">
        <f>GovByAssemblyDistrict83General[[#This Row],[Part of Bronx County Vote Results]]</f>
        <v>0</v>
      </c>
      <c r="D14" s="14"/>
    </row>
    <row r="15" spans="1:4" x14ac:dyDescent="0.2">
      <c r="A15" s="4" t="s">
        <v>2</v>
      </c>
      <c r="B15" s="5">
        <v>4</v>
      </c>
      <c r="C15" s="12">
        <f>GovByAssemblyDistrict83General[[#This Row],[Part of Bronx County Vote Results]]</f>
        <v>4</v>
      </c>
      <c r="D15" s="14"/>
    </row>
    <row r="16" spans="1:4" hidden="1" x14ac:dyDescent="0.2">
      <c r="A16" s="4" t="s">
        <v>4</v>
      </c>
      <c r="B16" s="6">
        <f>SUBTOTAL(109,GovByAssemblyDistrict83General[Total Votes by Candidate])</f>
        <v>30939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93AF3-2A96-408A-BF39-94C7876A42C5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106</v>
      </c>
    </row>
    <row r="2" spans="1:4" ht="24.95" customHeight="1" x14ac:dyDescent="0.2">
      <c r="A2" s="7" t="s">
        <v>12</v>
      </c>
      <c r="B2" s="8" t="s">
        <v>99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21102</v>
      </c>
      <c r="C3" s="12">
        <f>GovByAssemblyDistrict84General[[#This Row],[Part of Bronx County Vote Results]]</f>
        <v>21102</v>
      </c>
      <c r="D3" s="13">
        <f>SUM(C3,C7,C8,C9)</f>
        <v>21602</v>
      </c>
    </row>
    <row r="4" spans="1:4" x14ac:dyDescent="0.2">
      <c r="A4" s="2" t="s">
        <v>14</v>
      </c>
      <c r="B4" s="3">
        <v>793</v>
      </c>
      <c r="C4" s="12">
        <f>GovByAssemblyDistrict84General[[#This Row],[Part of Bronx County Vote Results]]</f>
        <v>793</v>
      </c>
      <c r="D4" s="13">
        <f>SUM(C4,C5,C10)</f>
        <v>879</v>
      </c>
    </row>
    <row r="5" spans="1:4" x14ac:dyDescent="0.2">
      <c r="A5" s="2" t="s">
        <v>15</v>
      </c>
      <c r="B5" s="3">
        <v>74</v>
      </c>
      <c r="C5" s="12">
        <f>GovByAssemblyDistrict84General[[#This Row],[Part of Bronx County Vote Results]]</f>
        <v>74</v>
      </c>
      <c r="D5" s="14"/>
    </row>
    <row r="6" spans="1:4" x14ac:dyDescent="0.2">
      <c r="A6" s="2" t="s">
        <v>6</v>
      </c>
      <c r="B6" s="3">
        <v>229</v>
      </c>
      <c r="C6" s="12">
        <f>GovByAssemblyDistrict84General[[#This Row],[Part of Bronx County Vote Results]]</f>
        <v>229</v>
      </c>
      <c r="D6" s="13">
        <f>GovByAssemblyDistrict84General[[#This Row],[Total Votes by Party]]</f>
        <v>229</v>
      </c>
    </row>
    <row r="7" spans="1:4" x14ac:dyDescent="0.2">
      <c r="A7" s="2" t="s">
        <v>7</v>
      </c>
      <c r="B7" s="3">
        <v>331</v>
      </c>
      <c r="C7" s="12">
        <f>GovByAssemblyDistrict84General[[#This Row],[Part of Bronx County Vote Results]]</f>
        <v>331</v>
      </c>
      <c r="D7" s="14"/>
    </row>
    <row r="8" spans="1:4" x14ac:dyDescent="0.2">
      <c r="A8" s="2" t="s">
        <v>8</v>
      </c>
      <c r="B8" s="3">
        <v>136</v>
      </c>
      <c r="C8" s="12">
        <f>GovByAssemblyDistrict84General[[#This Row],[Part of Bronx County Vote Results]]</f>
        <v>136</v>
      </c>
      <c r="D8" s="14"/>
    </row>
    <row r="9" spans="1:4" x14ac:dyDescent="0.2">
      <c r="A9" s="2" t="s">
        <v>9</v>
      </c>
      <c r="B9" s="3">
        <v>33</v>
      </c>
      <c r="C9" s="12">
        <f>GovByAssemblyDistrict84General[[#This Row],[Part of Bronx County Vote Results]]</f>
        <v>33</v>
      </c>
      <c r="D9" s="14"/>
    </row>
    <row r="10" spans="1:4" x14ac:dyDescent="0.2">
      <c r="A10" s="2" t="s">
        <v>16</v>
      </c>
      <c r="B10" s="3">
        <v>12</v>
      </c>
      <c r="C10" s="12">
        <f>GovByAssemblyDistrict84General[[#This Row],[Part of Bronx County Vote Results]]</f>
        <v>12</v>
      </c>
      <c r="D10" s="14"/>
    </row>
    <row r="11" spans="1:4" x14ac:dyDescent="0.2">
      <c r="A11" s="2" t="s">
        <v>10</v>
      </c>
      <c r="B11" s="3">
        <v>97</v>
      </c>
      <c r="C11" s="12">
        <f>GovByAssemblyDistrict84General[[#This Row],[Part of Bronx County Vote Results]]</f>
        <v>97</v>
      </c>
      <c r="D11" s="13">
        <f>GovByAssemblyDistrict84General[[#This Row],[Total Votes by Party]]</f>
        <v>97</v>
      </c>
    </row>
    <row r="12" spans="1:4" x14ac:dyDescent="0.2">
      <c r="A12" s="4" t="s">
        <v>11</v>
      </c>
      <c r="B12" s="5">
        <v>36</v>
      </c>
      <c r="C12" s="12">
        <f>GovByAssemblyDistrict84General[[#This Row],[Part of Bronx County Vote Results]]</f>
        <v>36</v>
      </c>
      <c r="D12" s="13">
        <f>GovByAssemblyDistrict84General[[#This Row],[Total Votes by Party]]</f>
        <v>36</v>
      </c>
    </row>
    <row r="13" spans="1:4" x14ac:dyDescent="0.2">
      <c r="A13" s="4" t="s">
        <v>0</v>
      </c>
      <c r="B13" s="5">
        <v>338</v>
      </c>
      <c r="C13" s="12">
        <f>GovByAssemblyDistrict84General[[#This Row],[Part of Bronx County Vote Results]]</f>
        <v>338</v>
      </c>
      <c r="D13" s="14"/>
    </row>
    <row r="14" spans="1:4" x14ac:dyDescent="0.2">
      <c r="A14" s="4" t="s">
        <v>1</v>
      </c>
      <c r="B14" s="5">
        <v>0</v>
      </c>
      <c r="C14" s="12">
        <f>GovByAssemblyDistrict84General[[#This Row],[Part of Bronx County Vote Results]]</f>
        <v>0</v>
      </c>
      <c r="D14" s="14"/>
    </row>
    <row r="15" spans="1:4" x14ac:dyDescent="0.2">
      <c r="A15" s="4" t="s">
        <v>2</v>
      </c>
      <c r="B15" s="5">
        <v>14</v>
      </c>
      <c r="C15" s="12">
        <f>GovByAssemblyDistrict84General[[#This Row],[Part of Bronx County Vote Results]]</f>
        <v>14</v>
      </c>
      <c r="D15" s="14"/>
    </row>
    <row r="16" spans="1:4" hidden="1" x14ac:dyDescent="0.2">
      <c r="A16" s="4" t="s">
        <v>4</v>
      </c>
      <c r="B16" s="6">
        <f>SUBTOTAL(109,GovByAssemblyDistrict84General[Total Votes by Candidate])</f>
        <v>22843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3FEAA-FD3B-44AD-8D6D-2C0BA0887681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107</v>
      </c>
    </row>
    <row r="2" spans="1:4" ht="24.95" customHeight="1" x14ac:dyDescent="0.2">
      <c r="A2" s="7" t="s">
        <v>12</v>
      </c>
      <c r="B2" s="8" t="s">
        <v>99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21102</v>
      </c>
      <c r="C3" s="12">
        <f>GovByAssemblyDistrict85General[[#This Row],[Part of Bronx County Vote Results]]</f>
        <v>21102</v>
      </c>
      <c r="D3" s="13">
        <f>SUM(C3,C7,C8,C9)</f>
        <v>21533</v>
      </c>
    </row>
    <row r="4" spans="1:4" x14ac:dyDescent="0.2">
      <c r="A4" s="2" t="s">
        <v>14</v>
      </c>
      <c r="B4" s="3">
        <v>841</v>
      </c>
      <c r="C4" s="12">
        <f>GovByAssemblyDistrict85General[[#This Row],[Part of Bronx County Vote Results]]</f>
        <v>841</v>
      </c>
      <c r="D4" s="13">
        <f>SUM(C4,C5,C10)</f>
        <v>951</v>
      </c>
    </row>
    <row r="5" spans="1:4" x14ac:dyDescent="0.2">
      <c r="A5" s="2" t="s">
        <v>15</v>
      </c>
      <c r="B5" s="3">
        <v>93</v>
      </c>
      <c r="C5" s="12">
        <f>GovByAssemblyDistrict85General[[#This Row],[Part of Bronx County Vote Results]]</f>
        <v>93</v>
      </c>
      <c r="D5" s="14"/>
    </row>
    <row r="6" spans="1:4" x14ac:dyDescent="0.2">
      <c r="A6" s="2" t="s">
        <v>6</v>
      </c>
      <c r="B6" s="3">
        <v>146</v>
      </c>
      <c r="C6" s="12">
        <f>GovByAssemblyDistrict85General[[#This Row],[Part of Bronx County Vote Results]]</f>
        <v>146</v>
      </c>
      <c r="D6" s="13">
        <f>GovByAssemblyDistrict85General[[#This Row],[Total Votes by Party]]</f>
        <v>146</v>
      </c>
    </row>
    <row r="7" spans="1:4" x14ac:dyDescent="0.2">
      <c r="A7" s="2" t="s">
        <v>7</v>
      </c>
      <c r="B7" s="3">
        <v>262</v>
      </c>
      <c r="C7" s="12">
        <f>GovByAssemblyDistrict85General[[#This Row],[Part of Bronx County Vote Results]]</f>
        <v>262</v>
      </c>
      <c r="D7" s="14"/>
    </row>
    <row r="8" spans="1:4" x14ac:dyDescent="0.2">
      <c r="A8" s="2" t="s">
        <v>8</v>
      </c>
      <c r="B8" s="3">
        <v>133</v>
      </c>
      <c r="C8" s="12">
        <f>GovByAssemblyDistrict85General[[#This Row],[Part of Bronx County Vote Results]]</f>
        <v>133</v>
      </c>
      <c r="D8" s="14"/>
    </row>
    <row r="9" spans="1:4" x14ac:dyDescent="0.2">
      <c r="A9" s="2" t="s">
        <v>9</v>
      </c>
      <c r="B9" s="3">
        <v>36</v>
      </c>
      <c r="C9" s="12">
        <f>GovByAssemblyDistrict85General[[#This Row],[Part of Bronx County Vote Results]]</f>
        <v>36</v>
      </c>
      <c r="D9" s="14"/>
    </row>
    <row r="10" spans="1:4" x14ac:dyDescent="0.2">
      <c r="A10" s="2" t="s">
        <v>16</v>
      </c>
      <c r="B10" s="3">
        <v>17</v>
      </c>
      <c r="C10" s="12">
        <f>GovByAssemblyDistrict85General[[#This Row],[Part of Bronx County Vote Results]]</f>
        <v>17</v>
      </c>
      <c r="D10" s="14"/>
    </row>
    <row r="11" spans="1:4" x14ac:dyDescent="0.2">
      <c r="A11" s="2" t="s">
        <v>10</v>
      </c>
      <c r="B11" s="3">
        <v>60</v>
      </c>
      <c r="C11" s="12">
        <f>GovByAssemblyDistrict85General[[#This Row],[Part of Bronx County Vote Results]]</f>
        <v>60</v>
      </c>
      <c r="D11" s="13">
        <f>GovByAssemblyDistrict85General[[#This Row],[Total Votes by Party]]</f>
        <v>60</v>
      </c>
    </row>
    <row r="12" spans="1:4" x14ac:dyDescent="0.2">
      <c r="A12" s="4" t="s">
        <v>11</v>
      </c>
      <c r="B12" s="5">
        <v>36</v>
      </c>
      <c r="C12" s="12">
        <f>GovByAssemblyDistrict85General[[#This Row],[Part of Bronx County Vote Results]]</f>
        <v>36</v>
      </c>
      <c r="D12" s="13">
        <f>GovByAssemblyDistrict85General[[#This Row],[Total Votes by Party]]</f>
        <v>36</v>
      </c>
    </row>
    <row r="13" spans="1:4" x14ac:dyDescent="0.2">
      <c r="A13" s="4" t="s">
        <v>0</v>
      </c>
      <c r="B13" s="5">
        <v>276</v>
      </c>
      <c r="C13" s="12">
        <f>GovByAssemblyDistrict85General[[#This Row],[Part of Bronx County Vote Results]]</f>
        <v>276</v>
      </c>
      <c r="D13" s="14"/>
    </row>
    <row r="14" spans="1:4" x14ac:dyDescent="0.2">
      <c r="A14" s="4" t="s">
        <v>1</v>
      </c>
      <c r="B14" s="5">
        <v>0</v>
      </c>
      <c r="C14" s="12">
        <f>GovByAssemblyDistrict85General[[#This Row],[Part of Bronx County Vote Results]]</f>
        <v>0</v>
      </c>
      <c r="D14" s="14"/>
    </row>
    <row r="15" spans="1:4" x14ac:dyDescent="0.2">
      <c r="A15" s="4" t="s">
        <v>2</v>
      </c>
      <c r="B15" s="5">
        <v>9</v>
      </c>
      <c r="C15" s="12">
        <f>GovByAssemblyDistrict85General[[#This Row],[Part of Bronx County Vote Results]]</f>
        <v>9</v>
      </c>
      <c r="D15" s="14"/>
    </row>
    <row r="16" spans="1:4" hidden="1" x14ac:dyDescent="0.2">
      <c r="A16" s="4" t="s">
        <v>4</v>
      </c>
      <c r="B16" s="6">
        <f>SUBTOTAL(109,GovByAssemblyDistrict85General[Total Votes by Candidate])</f>
        <v>22726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A7FC1-7EF8-4041-9131-A6FFC6FDEDF5}">
  <dimension ref="A1:D16"/>
  <sheetViews>
    <sheetView workbookViewId="0">
      <selection activeCell="B19" sqref="B19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108</v>
      </c>
    </row>
    <row r="2" spans="1:4" ht="24.95" customHeight="1" x14ac:dyDescent="0.2">
      <c r="A2" s="7" t="s">
        <v>12</v>
      </c>
      <c r="B2" s="8" t="s">
        <v>99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19101</v>
      </c>
      <c r="C3" s="12">
        <f>GovByAssemblyDistrict86General[[#This Row],[Part of Bronx County Vote Results]]</f>
        <v>19101</v>
      </c>
      <c r="D3" s="13">
        <f>SUM(C3,C7,C8,C9)</f>
        <v>19429</v>
      </c>
    </row>
    <row r="4" spans="1:4" x14ac:dyDescent="0.2">
      <c r="A4" s="2" t="s">
        <v>14</v>
      </c>
      <c r="B4" s="3">
        <v>732</v>
      </c>
      <c r="C4" s="12">
        <f>GovByAssemblyDistrict86General[[#This Row],[Part of Bronx County Vote Results]]</f>
        <v>732</v>
      </c>
      <c r="D4" s="13">
        <f>SUM(C4,C5,C10)</f>
        <v>810</v>
      </c>
    </row>
    <row r="5" spans="1:4" x14ac:dyDescent="0.2">
      <c r="A5" s="2" t="s">
        <v>15</v>
      </c>
      <c r="B5" s="3">
        <v>64</v>
      </c>
      <c r="C5" s="12">
        <f>GovByAssemblyDistrict86General[[#This Row],[Part of Bronx County Vote Results]]</f>
        <v>64</v>
      </c>
      <c r="D5" s="14"/>
    </row>
    <row r="6" spans="1:4" x14ac:dyDescent="0.2">
      <c r="A6" s="2" t="s">
        <v>6</v>
      </c>
      <c r="B6" s="3">
        <v>135</v>
      </c>
      <c r="C6" s="12">
        <f>GovByAssemblyDistrict86General[[#This Row],[Part of Bronx County Vote Results]]</f>
        <v>135</v>
      </c>
      <c r="D6" s="13">
        <f>GovByAssemblyDistrict86General[[#This Row],[Total Votes by Party]]</f>
        <v>135</v>
      </c>
    </row>
    <row r="7" spans="1:4" x14ac:dyDescent="0.2">
      <c r="A7" s="2" t="s">
        <v>7</v>
      </c>
      <c r="B7" s="3">
        <v>177</v>
      </c>
      <c r="C7" s="12">
        <f>GovByAssemblyDistrict86General[[#This Row],[Part of Bronx County Vote Results]]</f>
        <v>177</v>
      </c>
      <c r="D7" s="14"/>
    </row>
    <row r="8" spans="1:4" x14ac:dyDescent="0.2">
      <c r="A8" s="2" t="s">
        <v>8</v>
      </c>
      <c r="B8" s="3">
        <v>122</v>
      </c>
      <c r="C8" s="12">
        <f>GovByAssemblyDistrict86General[[#This Row],[Part of Bronx County Vote Results]]</f>
        <v>122</v>
      </c>
      <c r="D8" s="14"/>
    </row>
    <row r="9" spans="1:4" x14ac:dyDescent="0.2">
      <c r="A9" s="2" t="s">
        <v>9</v>
      </c>
      <c r="B9" s="3">
        <v>29</v>
      </c>
      <c r="C9" s="12">
        <f>GovByAssemblyDistrict86General[[#This Row],[Part of Bronx County Vote Results]]</f>
        <v>29</v>
      </c>
      <c r="D9" s="14"/>
    </row>
    <row r="10" spans="1:4" x14ac:dyDescent="0.2">
      <c r="A10" s="2" t="s">
        <v>16</v>
      </c>
      <c r="B10" s="3">
        <v>14</v>
      </c>
      <c r="C10" s="12">
        <f>GovByAssemblyDistrict86General[[#This Row],[Part of Bronx County Vote Results]]</f>
        <v>14</v>
      </c>
      <c r="D10" s="14"/>
    </row>
    <row r="11" spans="1:4" x14ac:dyDescent="0.2">
      <c r="A11" s="2" t="s">
        <v>10</v>
      </c>
      <c r="B11" s="3">
        <v>51</v>
      </c>
      <c r="C11" s="12">
        <f>GovByAssemblyDistrict86General[[#This Row],[Part of Bronx County Vote Results]]</f>
        <v>51</v>
      </c>
      <c r="D11" s="13">
        <f>GovByAssemblyDistrict86General[[#This Row],[Total Votes by Party]]</f>
        <v>51</v>
      </c>
    </row>
    <row r="12" spans="1:4" x14ac:dyDescent="0.2">
      <c r="A12" s="4" t="s">
        <v>11</v>
      </c>
      <c r="B12" s="5">
        <v>24</v>
      </c>
      <c r="C12" s="12">
        <f>GovByAssemblyDistrict86General[[#This Row],[Part of Bronx County Vote Results]]</f>
        <v>24</v>
      </c>
      <c r="D12" s="13">
        <f>GovByAssemblyDistrict86General[[#This Row],[Total Votes by Party]]</f>
        <v>24</v>
      </c>
    </row>
    <row r="13" spans="1:4" x14ac:dyDescent="0.2">
      <c r="A13" s="4" t="s">
        <v>0</v>
      </c>
      <c r="B13" s="5">
        <v>293</v>
      </c>
      <c r="C13" s="12">
        <f>GovByAssemblyDistrict86General[[#This Row],[Part of Bronx County Vote Results]]</f>
        <v>293</v>
      </c>
      <c r="D13" s="14"/>
    </row>
    <row r="14" spans="1:4" x14ac:dyDescent="0.2">
      <c r="A14" s="4" t="s">
        <v>1</v>
      </c>
      <c r="B14" s="5">
        <v>0</v>
      </c>
      <c r="C14" s="12">
        <f>GovByAssemblyDistrict86General[[#This Row],[Part of Bronx County Vote Results]]</f>
        <v>0</v>
      </c>
      <c r="D14" s="14"/>
    </row>
    <row r="15" spans="1:4" x14ac:dyDescent="0.2">
      <c r="A15" s="4" t="s">
        <v>2</v>
      </c>
      <c r="B15" s="5">
        <v>2</v>
      </c>
      <c r="C15" s="12">
        <f>GovByAssemblyDistrict86General[[#This Row],[Part of Bronx County Vote Results]]</f>
        <v>2</v>
      </c>
      <c r="D15" s="14"/>
    </row>
    <row r="16" spans="1:4" hidden="1" x14ac:dyDescent="0.2">
      <c r="A16" s="4" t="s">
        <v>4</v>
      </c>
      <c r="B16" s="6">
        <f>SUBTOTAL(109,GovByAssemblyDistrict86General[Total Votes by Candidate])</f>
        <v>20449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05D11-8530-4B4A-8E5E-728DDBD85F84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109</v>
      </c>
    </row>
    <row r="2" spans="1:4" ht="24.95" customHeight="1" x14ac:dyDescent="0.2">
      <c r="A2" s="7" t="s">
        <v>12</v>
      </c>
      <c r="B2" s="8" t="s">
        <v>99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23769</v>
      </c>
      <c r="C3" s="12">
        <f>GovByAssemblyDistrict87General[[#This Row],[Part of Bronx County Vote Results]]</f>
        <v>23769</v>
      </c>
      <c r="D3" s="13">
        <f>SUM(C3,C7,C8,C9)</f>
        <v>24339</v>
      </c>
    </row>
    <row r="4" spans="1:4" x14ac:dyDescent="0.2">
      <c r="A4" s="2" t="s">
        <v>14</v>
      </c>
      <c r="B4" s="3">
        <v>1217</v>
      </c>
      <c r="C4" s="12">
        <f>GovByAssemblyDistrict87General[[#This Row],[Part of Bronx County Vote Results]]</f>
        <v>1217</v>
      </c>
      <c r="D4" s="13">
        <f>SUM(C4,C5,C10)</f>
        <v>1389</v>
      </c>
    </row>
    <row r="5" spans="1:4" x14ac:dyDescent="0.2">
      <c r="A5" s="2" t="s">
        <v>15</v>
      </c>
      <c r="B5" s="3">
        <v>152</v>
      </c>
      <c r="C5" s="12">
        <f>GovByAssemblyDistrict87General[[#This Row],[Part of Bronx County Vote Results]]</f>
        <v>152</v>
      </c>
      <c r="D5" s="14"/>
    </row>
    <row r="6" spans="1:4" x14ac:dyDescent="0.2">
      <c r="A6" s="2" t="s">
        <v>6</v>
      </c>
      <c r="B6" s="3">
        <v>252</v>
      </c>
      <c r="C6" s="12">
        <f>GovByAssemblyDistrict87General[[#This Row],[Part of Bronx County Vote Results]]</f>
        <v>252</v>
      </c>
      <c r="D6" s="13">
        <f>GovByAssemblyDistrict87General[[#This Row],[Total Votes by Party]]</f>
        <v>252</v>
      </c>
    </row>
    <row r="7" spans="1:4" x14ac:dyDescent="0.2">
      <c r="A7" s="2" t="s">
        <v>7</v>
      </c>
      <c r="B7" s="3">
        <v>321</v>
      </c>
      <c r="C7" s="12">
        <f>GovByAssemblyDistrict87General[[#This Row],[Part of Bronx County Vote Results]]</f>
        <v>321</v>
      </c>
      <c r="D7" s="14"/>
    </row>
    <row r="8" spans="1:4" x14ac:dyDescent="0.2">
      <c r="A8" s="2" t="s">
        <v>8</v>
      </c>
      <c r="B8" s="3">
        <v>197</v>
      </c>
      <c r="C8" s="12">
        <f>GovByAssemblyDistrict87General[[#This Row],[Part of Bronx County Vote Results]]</f>
        <v>197</v>
      </c>
      <c r="D8" s="14"/>
    </row>
    <row r="9" spans="1:4" x14ac:dyDescent="0.2">
      <c r="A9" s="2" t="s">
        <v>9</v>
      </c>
      <c r="B9" s="3">
        <v>52</v>
      </c>
      <c r="C9" s="12">
        <f>GovByAssemblyDistrict87General[[#This Row],[Part of Bronx County Vote Results]]</f>
        <v>52</v>
      </c>
      <c r="D9" s="14"/>
    </row>
    <row r="10" spans="1:4" x14ac:dyDescent="0.2">
      <c r="A10" s="2" t="s">
        <v>16</v>
      </c>
      <c r="B10" s="3">
        <v>20</v>
      </c>
      <c r="C10" s="12">
        <f>GovByAssemblyDistrict87General[[#This Row],[Part of Bronx County Vote Results]]</f>
        <v>20</v>
      </c>
      <c r="D10" s="14"/>
    </row>
    <row r="11" spans="1:4" x14ac:dyDescent="0.2">
      <c r="A11" s="2" t="s">
        <v>10</v>
      </c>
      <c r="B11" s="3">
        <v>94</v>
      </c>
      <c r="C11" s="12">
        <f>GovByAssemblyDistrict87General[[#This Row],[Part of Bronx County Vote Results]]</f>
        <v>94</v>
      </c>
      <c r="D11" s="13">
        <f>GovByAssemblyDistrict87General[[#This Row],[Total Votes by Party]]</f>
        <v>94</v>
      </c>
    </row>
    <row r="12" spans="1:4" x14ac:dyDescent="0.2">
      <c r="A12" s="4" t="s">
        <v>11</v>
      </c>
      <c r="B12" s="5">
        <v>44</v>
      </c>
      <c r="C12" s="12">
        <f>GovByAssemblyDistrict87General[[#This Row],[Part of Bronx County Vote Results]]</f>
        <v>44</v>
      </c>
      <c r="D12" s="13">
        <f>GovByAssemblyDistrict87General[[#This Row],[Total Votes by Party]]</f>
        <v>44</v>
      </c>
    </row>
    <row r="13" spans="1:4" x14ac:dyDescent="0.2">
      <c r="A13" s="4" t="s">
        <v>0</v>
      </c>
      <c r="B13" s="5">
        <v>370</v>
      </c>
      <c r="C13" s="12">
        <f>GovByAssemblyDistrict87General[[#This Row],[Part of Bronx County Vote Results]]</f>
        <v>370</v>
      </c>
      <c r="D13" s="14"/>
    </row>
    <row r="14" spans="1:4" x14ac:dyDescent="0.2">
      <c r="A14" s="4" t="s">
        <v>1</v>
      </c>
      <c r="B14" s="5">
        <v>0</v>
      </c>
      <c r="C14" s="12">
        <f>GovByAssemblyDistrict87General[[#This Row],[Part of Bronx County Vote Results]]</f>
        <v>0</v>
      </c>
      <c r="D14" s="14"/>
    </row>
    <row r="15" spans="1:4" x14ac:dyDescent="0.2">
      <c r="A15" s="4" t="s">
        <v>2</v>
      </c>
      <c r="B15" s="5">
        <v>13</v>
      </c>
      <c r="C15" s="12">
        <f>GovByAssemblyDistrict87General[[#This Row],[Part of Bronx County Vote Results]]</f>
        <v>13</v>
      </c>
      <c r="D15" s="14"/>
    </row>
    <row r="16" spans="1:4" hidden="1" x14ac:dyDescent="0.2">
      <c r="A16" s="4" t="s">
        <v>4</v>
      </c>
      <c r="B16" s="6">
        <f>SUBTOTAL(109,GovByAssemblyDistrict87General[Total Votes by Candidate])</f>
        <v>26118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28F53-11DC-470C-A789-564FA1CAA1D0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110</v>
      </c>
    </row>
    <row r="2" spans="1:4" ht="24.95" customHeight="1" x14ac:dyDescent="0.2">
      <c r="A2" s="7" t="s">
        <v>12</v>
      </c>
      <c r="B2" s="8" t="s">
        <v>111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33007</v>
      </c>
      <c r="C3" s="12">
        <f>GovByAssemblyDistrict88General[[#This Row],[Part of Westchester County Vote Results]]</f>
        <v>33007</v>
      </c>
      <c r="D3" s="13">
        <f>SUM(C3,C7,C8,C9)</f>
        <v>34500</v>
      </c>
    </row>
    <row r="4" spans="1:4" x14ac:dyDescent="0.2">
      <c r="A4" s="2" t="s">
        <v>14</v>
      </c>
      <c r="B4" s="3">
        <v>14414</v>
      </c>
      <c r="C4" s="12">
        <f>GovByAssemblyDistrict88General[[#This Row],[Part of Westchester County Vote Results]]</f>
        <v>14414</v>
      </c>
      <c r="D4" s="13">
        <f>SUM(C4,C5,C10)</f>
        <v>16062</v>
      </c>
    </row>
    <row r="5" spans="1:4" x14ac:dyDescent="0.2">
      <c r="A5" s="2" t="s">
        <v>15</v>
      </c>
      <c r="B5" s="3">
        <v>1483</v>
      </c>
      <c r="C5" s="12">
        <f>GovByAssemblyDistrict88General[[#This Row],[Part of Westchester County Vote Results]]</f>
        <v>1483</v>
      </c>
      <c r="D5" s="14"/>
    </row>
    <row r="6" spans="1:4" x14ac:dyDescent="0.2">
      <c r="A6" s="2" t="s">
        <v>6</v>
      </c>
      <c r="B6" s="3">
        <v>518</v>
      </c>
      <c r="C6" s="12">
        <f>GovByAssemblyDistrict88General[[#This Row],[Part of Westchester County Vote Results]]</f>
        <v>518</v>
      </c>
      <c r="D6" s="13">
        <f>GovByAssemblyDistrict88General[[#This Row],[Total Votes by Party]]</f>
        <v>518</v>
      </c>
    </row>
    <row r="7" spans="1:4" x14ac:dyDescent="0.2">
      <c r="A7" s="2" t="s">
        <v>7</v>
      </c>
      <c r="B7" s="3">
        <v>721</v>
      </c>
      <c r="C7" s="12">
        <f>GovByAssemblyDistrict88General[[#This Row],[Part of Westchester County Vote Results]]</f>
        <v>721</v>
      </c>
      <c r="D7" s="14"/>
    </row>
    <row r="8" spans="1:4" x14ac:dyDescent="0.2">
      <c r="A8" s="2" t="s">
        <v>8</v>
      </c>
      <c r="B8" s="3">
        <v>500</v>
      </c>
      <c r="C8" s="12">
        <f>GovByAssemblyDistrict88General[[#This Row],[Part of Westchester County Vote Results]]</f>
        <v>500</v>
      </c>
      <c r="D8" s="14"/>
    </row>
    <row r="9" spans="1:4" x14ac:dyDescent="0.2">
      <c r="A9" s="2" t="s">
        <v>9</v>
      </c>
      <c r="B9" s="3">
        <v>272</v>
      </c>
      <c r="C9" s="12">
        <f>GovByAssemblyDistrict88General[[#This Row],[Part of Westchester County Vote Results]]</f>
        <v>272</v>
      </c>
      <c r="D9" s="14"/>
    </row>
    <row r="10" spans="1:4" x14ac:dyDescent="0.2">
      <c r="A10" s="2" t="s">
        <v>16</v>
      </c>
      <c r="B10" s="3">
        <v>165</v>
      </c>
      <c r="C10" s="12">
        <f>GovByAssemblyDistrict88General[[#This Row],[Part of Westchester County Vote Results]]</f>
        <v>165</v>
      </c>
      <c r="D10" s="14"/>
    </row>
    <row r="11" spans="1:4" x14ac:dyDescent="0.2">
      <c r="A11" s="2" t="s">
        <v>10</v>
      </c>
      <c r="B11" s="3">
        <v>324</v>
      </c>
      <c r="C11" s="12">
        <f>GovByAssemblyDistrict88General[[#This Row],[Part of Westchester County Vote Results]]</f>
        <v>324</v>
      </c>
      <c r="D11" s="13">
        <f>GovByAssemblyDistrict88General[[#This Row],[Total Votes by Party]]</f>
        <v>324</v>
      </c>
    </row>
    <row r="12" spans="1:4" x14ac:dyDescent="0.2">
      <c r="A12" s="4" t="s">
        <v>11</v>
      </c>
      <c r="B12" s="5">
        <v>661</v>
      </c>
      <c r="C12" s="12">
        <f>GovByAssemblyDistrict88General[[#This Row],[Part of Westchester County Vote Results]]</f>
        <v>661</v>
      </c>
      <c r="D12" s="13">
        <f>GovByAssemblyDistrict88General[[#This Row],[Total Votes by Party]]</f>
        <v>661</v>
      </c>
    </row>
    <row r="13" spans="1:4" x14ac:dyDescent="0.2">
      <c r="A13" s="4" t="s">
        <v>0</v>
      </c>
      <c r="B13" s="5">
        <v>1097</v>
      </c>
      <c r="C13" s="12">
        <f>GovByAssemblyDistrict88General[[#This Row],[Part of Westchester County Vote Results]]</f>
        <v>1097</v>
      </c>
      <c r="D13" s="14"/>
    </row>
    <row r="14" spans="1:4" x14ac:dyDescent="0.2">
      <c r="A14" s="4" t="s">
        <v>1</v>
      </c>
      <c r="B14" s="5">
        <v>0</v>
      </c>
      <c r="C14" s="12">
        <f>GovByAssemblyDistrict88General[[#This Row],[Part of Westchester County Vote Results]]</f>
        <v>0</v>
      </c>
      <c r="D14" s="14"/>
    </row>
    <row r="15" spans="1:4" x14ac:dyDescent="0.2">
      <c r="A15" s="4" t="s">
        <v>2</v>
      </c>
      <c r="B15" s="5">
        <v>0</v>
      </c>
      <c r="C15" s="12">
        <f>GovByAssemblyDistrict88General[[#This Row],[Part of Westchester County Vote Results]]</f>
        <v>0</v>
      </c>
      <c r="D15" s="14"/>
    </row>
    <row r="16" spans="1:4" hidden="1" x14ac:dyDescent="0.2">
      <c r="A16" s="4" t="s">
        <v>4</v>
      </c>
      <c r="B16" s="6">
        <f>SUBTOTAL(109,GovByAssemblyDistrict88General[Total Votes by Candidate])</f>
        <v>52065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54041-FC54-4719-99E6-47E13978A30F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112</v>
      </c>
    </row>
    <row r="2" spans="1:4" ht="24.95" customHeight="1" x14ac:dyDescent="0.2">
      <c r="A2" s="7" t="s">
        <v>12</v>
      </c>
      <c r="B2" s="8" t="s">
        <v>111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27807</v>
      </c>
      <c r="C3" s="12">
        <f>GovByAssemblyDistrict89General[[#This Row],[Part of Westchester County Vote Results]]</f>
        <v>27807</v>
      </c>
      <c r="D3" s="13">
        <f>SUM(C3,C7,C8,C9)</f>
        <v>28575</v>
      </c>
    </row>
    <row r="4" spans="1:4" x14ac:dyDescent="0.2">
      <c r="A4" s="2" t="s">
        <v>14</v>
      </c>
      <c r="B4" s="3">
        <v>3911</v>
      </c>
      <c r="C4" s="12">
        <f>GovByAssemblyDistrict89General[[#This Row],[Part of Westchester County Vote Results]]</f>
        <v>3911</v>
      </c>
      <c r="D4" s="13">
        <f>SUM(C4,C5,C10)</f>
        <v>4465</v>
      </c>
    </row>
    <row r="5" spans="1:4" x14ac:dyDescent="0.2">
      <c r="A5" s="2" t="s">
        <v>15</v>
      </c>
      <c r="B5" s="3">
        <v>493</v>
      </c>
      <c r="C5" s="12">
        <f>GovByAssemblyDistrict89General[[#This Row],[Part of Westchester County Vote Results]]</f>
        <v>493</v>
      </c>
      <c r="D5" s="14"/>
    </row>
    <row r="6" spans="1:4" x14ac:dyDescent="0.2">
      <c r="A6" s="2" t="s">
        <v>6</v>
      </c>
      <c r="B6" s="3">
        <v>292</v>
      </c>
      <c r="C6" s="12">
        <f>GovByAssemblyDistrict89General[[#This Row],[Part of Westchester County Vote Results]]</f>
        <v>292</v>
      </c>
      <c r="D6" s="13">
        <f>GovByAssemblyDistrict89General[[#This Row],[Total Votes by Party]]</f>
        <v>292</v>
      </c>
    </row>
    <row r="7" spans="1:4" x14ac:dyDescent="0.2">
      <c r="A7" s="2" t="s">
        <v>7</v>
      </c>
      <c r="B7" s="3">
        <v>381</v>
      </c>
      <c r="C7" s="12">
        <f>GovByAssemblyDistrict89General[[#This Row],[Part of Westchester County Vote Results]]</f>
        <v>381</v>
      </c>
      <c r="D7" s="14"/>
    </row>
    <row r="8" spans="1:4" x14ac:dyDescent="0.2">
      <c r="A8" s="2" t="s">
        <v>8</v>
      </c>
      <c r="B8" s="3">
        <v>256</v>
      </c>
      <c r="C8" s="12">
        <f>GovByAssemblyDistrict89General[[#This Row],[Part of Westchester County Vote Results]]</f>
        <v>256</v>
      </c>
      <c r="D8" s="14"/>
    </row>
    <row r="9" spans="1:4" x14ac:dyDescent="0.2">
      <c r="A9" s="2" t="s">
        <v>9</v>
      </c>
      <c r="B9" s="3">
        <v>131</v>
      </c>
      <c r="C9" s="12">
        <f>GovByAssemblyDistrict89General[[#This Row],[Part of Westchester County Vote Results]]</f>
        <v>131</v>
      </c>
      <c r="D9" s="14"/>
    </row>
    <row r="10" spans="1:4" x14ac:dyDescent="0.2">
      <c r="A10" s="2" t="s">
        <v>16</v>
      </c>
      <c r="B10" s="3">
        <v>61</v>
      </c>
      <c r="C10" s="12">
        <f>GovByAssemblyDistrict89General[[#This Row],[Part of Westchester County Vote Results]]</f>
        <v>61</v>
      </c>
      <c r="D10" s="14"/>
    </row>
    <row r="11" spans="1:4" x14ac:dyDescent="0.2">
      <c r="A11" s="2" t="s">
        <v>10</v>
      </c>
      <c r="B11" s="3">
        <v>133</v>
      </c>
      <c r="C11" s="12">
        <f>GovByAssemblyDistrict89General[[#This Row],[Part of Westchester County Vote Results]]</f>
        <v>133</v>
      </c>
      <c r="D11" s="13">
        <f>GovByAssemblyDistrict89General[[#This Row],[Total Votes by Party]]</f>
        <v>133</v>
      </c>
    </row>
    <row r="12" spans="1:4" x14ac:dyDescent="0.2">
      <c r="A12" s="4" t="s">
        <v>11</v>
      </c>
      <c r="B12" s="5">
        <v>149</v>
      </c>
      <c r="C12" s="12">
        <f>GovByAssemblyDistrict89General[[#This Row],[Part of Westchester County Vote Results]]</f>
        <v>149</v>
      </c>
      <c r="D12" s="13">
        <f>GovByAssemblyDistrict89General[[#This Row],[Total Votes by Party]]</f>
        <v>149</v>
      </c>
    </row>
    <row r="13" spans="1:4" x14ac:dyDescent="0.2">
      <c r="A13" s="4" t="s">
        <v>0</v>
      </c>
      <c r="B13" s="5">
        <v>849</v>
      </c>
      <c r="C13" s="12">
        <f>GovByAssemblyDistrict89General[[#This Row],[Part of Westchester County Vote Results]]</f>
        <v>849</v>
      </c>
      <c r="D13" s="14"/>
    </row>
    <row r="14" spans="1:4" x14ac:dyDescent="0.2">
      <c r="A14" s="4" t="s">
        <v>1</v>
      </c>
      <c r="B14" s="5">
        <v>0</v>
      </c>
      <c r="C14" s="12">
        <f>GovByAssemblyDistrict89General[[#This Row],[Part of Westchester County Vote Results]]</f>
        <v>0</v>
      </c>
      <c r="D14" s="14"/>
    </row>
    <row r="15" spans="1:4" x14ac:dyDescent="0.2">
      <c r="A15" s="4" t="s">
        <v>2</v>
      </c>
      <c r="B15" s="5">
        <v>0</v>
      </c>
      <c r="C15" s="12">
        <f>GovByAssemblyDistrict89General[[#This Row],[Part of Westchester County Vote Results]]</f>
        <v>0</v>
      </c>
      <c r="D15" s="14"/>
    </row>
    <row r="16" spans="1:4" hidden="1" x14ac:dyDescent="0.2">
      <c r="A16" s="4" t="s">
        <v>4</v>
      </c>
      <c r="B16" s="6">
        <f>SUBTOTAL(109,GovByAssemblyDistrict89General[Total Votes by Candidate])</f>
        <v>33614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BDE9C-840C-4DBE-A427-127F2470FB8C}">
  <dimension ref="A1:E16"/>
  <sheetViews>
    <sheetView workbookViewId="0">
      <selection activeCell="C18" sqref="C18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24.75" customHeight="1" x14ac:dyDescent="0.2">
      <c r="A1" s="1" t="s">
        <v>26</v>
      </c>
    </row>
    <row r="2" spans="1:5" ht="25.5" x14ac:dyDescent="0.2">
      <c r="A2" s="7" t="s">
        <v>12</v>
      </c>
      <c r="B2" s="8" t="s">
        <v>17</v>
      </c>
      <c r="C2" s="8" t="s">
        <v>13</v>
      </c>
      <c r="D2" s="10" t="s">
        <v>228</v>
      </c>
      <c r="E2" s="11" t="s">
        <v>5</v>
      </c>
    </row>
    <row r="3" spans="1:5" x14ac:dyDescent="0.2">
      <c r="A3" s="2" t="s">
        <v>3</v>
      </c>
      <c r="B3" s="3">
        <v>8773</v>
      </c>
      <c r="C3" s="3">
        <v>12251</v>
      </c>
      <c r="D3" s="12">
        <f>SUM(GovByAssemblyDistrict9General[[#This Row],[Part of Nassau County Vote Results]:[Part of Suffolk County Vote Results]])</f>
        <v>21024</v>
      </c>
      <c r="E3" s="13">
        <f>SUM(D3,D7,D8,D9)</f>
        <v>22207</v>
      </c>
    </row>
    <row r="4" spans="1:5" x14ac:dyDescent="0.2">
      <c r="A4" s="2" t="s">
        <v>14</v>
      </c>
      <c r="B4" s="3">
        <v>11616</v>
      </c>
      <c r="C4" s="3">
        <v>13525</v>
      </c>
      <c r="D4" s="12">
        <f>SUM(GovByAssemblyDistrict9General[[#This Row],[Part of Nassau County Vote Results]:[Part of Suffolk County Vote Results]])</f>
        <v>25141</v>
      </c>
      <c r="E4" s="13">
        <f>SUM(D4,D5,D10)</f>
        <v>27818</v>
      </c>
    </row>
    <row r="5" spans="1:5" x14ac:dyDescent="0.2">
      <c r="A5" s="2" t="s">
        <v>15</v>
      </c>
      <c r="B5" s="3">
        <v>1121</v>
      </c>
      <c r="C5" s="3">
        <v>1370</v>
      </c>
      <c r="D5" s="12">
        <f>SUM(GovByAssemblyDistrict9General[[#This Row],[Part of Nassau County Vote Results]:[Part of Suffolk County Vote Results]])</f>
        <v>2491</v>
      </c>
      <c r="E5" s="14"/>
    </row>
    <row r="6" spans="1:5" x14ac:dyDescent="0.2">
      <c r="A6" s="2" t="s">
        <v>6</v>
      </c>
      <c r="B6" s="3">
        <v>162</v>
      </c>
      <c r="C6" s="3">
        <v>272</v>
      </c>
      <c r="D6" s="12">
        <f>SUM(GovByAssemblyDistrict9General[[#This Row],[Part of Nassau County Vote Results]:[Part of Suffolk County Vote Results]])</f>
        <v>434</v>
      </c>
      <c r="E6" s="13">
        <f>GovByAssemblyDistrict9General[[#This Row],[Total Votes by Party]]</f>
        <v>434</v>
      </c>
    </row>
    <row r="7" spans="1:5" x14ac:dyDescent="0.2">
      <c r="A7" s="2" t="s">
        <v>7</v>
      </c>
      <c r="B7" s="3">
        <v>164</v>
      </c>
      <c r="C7" s="3">
        <v>294</v>
      </c>
      <c r="D7" s="12">
        <f>SUM(GovByAssemblyDistrict9General[[#This Row],[Part of Nassau County Vote Results]:[Part of Suffolk County Vote Results]])</f>
        <v>458</v>
      </c>
      <c r="E7" s="14"/>
    </row>
    <row r="8" spans="1:5" x14ac:dyDescent="0.2">
      <c r="A8" s="2" t="s">
        <v>8</v>
      </c>
      <c r="B8" s="3">
        <v>168</v>
      </c>
      <c r="C8" s="3">
        <v>320</v>
      </c>
      <c r="D8" s="12">
        <f>SUM(GovByAssemblyDistrict9General[[#This Row],[Part of Nassau County Vote Results]:[Part of Suffolk County Vote Results]])</f>
        <v>488</v>
      </c>
      <c r="E8" s="14"/>
    </row>
    <row r="9" spans="1:5" x14ac:dyDescent="0.2">
      <c r="A9" s="2" t="s">
        <v>9</v>
      </c>
      <c r="B9" s="3">
        <v>82</v>
      </c>
      <c r="C9" s="3">
        <v>155</v>
      </c>
      <c r="D9" s="12">
        <f>SUM(GovByAssemblyDistrict9General[[#This Row],[Part of Nassau County Vote Results]:[Part of Suffolk County Vote Results]])</f>
        <v>237</v>
      </c>
      <c r="E9" s="14"/>
    </row>
    <row r="10" spans="1:5" x14ac:dyDescent="0.2">
      <c r="A10" s="2" t="s">
        <v>16</v>
      </c>
      <c r="B10" s="3">
        <v>83</v>
      </c>
      <c r="C10" s="3">
        <v>103</v>
      </c>
      <c r="D10" s="12">
        <f>SUM(GovByAssemblyDistrict9General[[#This Row],[Part of Nassau County Vote Results]:[Part of Suffolk County Vote Results]])</f>
        <v>186</v>
      </c>
      <c r="E10" s="14"/>
    </row>
    <row r="11" spans="1:5" x14ac:dyDescent="0.2">
      <c r="A11" s="2" t="s">
        <v>10</v>
      </c>
      <c r="B11" s="3">
        <v>153</v>
      </c>
      <c r="C11" s="3">
        <v>250</v>
      </c>
      <c r="D11" s="12">
        <f>SUM(GovByAssemblyDistrict9General[[#This Row],[Part of Nassau County Vote Results]:[Part of Suffolk County Vote Results]])</f>
        <v>403</v>
      </c>
      <c r="E11" s="13">
        <f>GovByAssemblyDistrict9General[[#This Row],[Total Votes by Party]]</f>
        <v>403</v>
      </c>
    </row>
    <row r="12" spans="1:5" x14ac:dyDescent="0.2">
      <c r="A12" s="4" t="s">
        <v>11</v>
      </c>
      <c r="B12" s="3">
        <v>108</v>
      </c>
      <c r="C12" s="3">
        <v>161</v>
      </c>
      <c r="D12" s="12">
        <f>SUM(GovByAssemblyDistrict9General[[#This Row],[Part of Nassau County Vote Results]:[Part of Suffolk County Vote Results]])</f>
        <v>269</v>
      </c>
      <c r="E12" s="13">
        <f>GovByAssemblyDistrict9General[[#This Row],[Total Votes by Party]]</f>
        <v>269</v>
      </c>
    </row>
    <row r="13" spans="1:5" x14ac:dyDescent="0.2">
      <c r="A13" s="4" t="s">
        <v>0</v>
      </c>
      <c r="B13" s="3">
        <v>649</v>
      </c>
      <c r="C13" s="3">
        <v>431</v>
      </c>
      <c r="D13" s="12">
        <f>SUM(GovByAssemblyDistrict9General[[#This Row],[Part of Nassau County Vote Results]:[Part of Suffolk County Vote Results]])</f>
        <v>1080</v>
      </c>
      <c r="E13" s="14"/>
    </row>
    <row r="14" spans="1:5" x14ac:dyDescent="0.2">
      <c r="A14" s="4" t="s">
        <v>1</v>
      </c>
      <c r="B14" s="3">
        <v>48</v>
      </c>
      <c r="C14" s="3">
        <v>26</v>
      </c>
      <c r="D14" s="12">
        <f>SUM(GovByAssemblyDistrict9General[[#This Row],[Part of Nassau County Vote Results]:[Part of Suffolk County Vote Results]])</f>
        <v>74</v>
      </c>
      <c r="E14" s="14"/>
    </row>
    <row r="15" spans="1:5" x14ac:dyDescent="0.2">
      <c r="A15" s="4" t="s">
        <v>2</v>
      </c>
      <c r="B15" s="5">
        <v>9</v>
      </c>
      <c r="C15" s="5">
        <v>7</v>
      </c>
      <c r="D15" s="12">
        <f>SUM(GovByAssemblyDistrict9General[[#This Row],[Part of Nassau County Vote Results]:[Part of Suffolk County Vote Results]])</f>
        <v>16</v>
      </c>
      <c r="E15" s="14"/>
    </row>
    <row r="16" spans="1:5" hidden="1" x14ac:dyDescent="0.2">
      <c r="A16" s="4" t="s">
        <v>4</v>
      </c>
      <c r="B16" s="6">
        <f>SUBTOTAL(109,GovByAssemblyDistrict9General[Part of Nassau County Vote Results])</f>
        <v>23136</v>
      </c>
      <c r="C16" s="6">
        <f>SUBTOTAL(109,GovByAssemblyDistrict9General[Part of Suffolk County Vote Results])</f>
        <v>29165</v>
      </c>
      <c r="D16" s="6"/>
      <c r="E16" s="9"/>
    </row>
  </sheetData>
  <pageMargins left="0.7" right="0.7" top="0.75" bottom="0.75" header="0.3" footer="0.3"/>
  <pageSetup orientation="portrait" horizontalDpi="4294967295" verticalDpi="4294967295" r:id="rId1"/>
  <tableParts count="1">
    <tablePart r:id="rId2"/>
  </tableParts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6ABC7-B363-4909-80D2-282CE60C520A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113</v>
      </c>
    </row>
    <row r="2" spans="1:4" ht="24.95" customHeight="1" x14ac:dyDescent="0.2">
      <c r="A2" s="7" t="s">
        <v>12</v>
      </c>
      <c r="B2" s="8" t="s">
        <v>111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22680</v>
      </c>
      <c r="C3" s="12">
        <f>GovByAssemblyDistrict90General[[#This Row],[Part of Westchester County Vote Results]]</f>
        <v>22680</v>
      </c>
      <c r="D3" s="13">
        <f>SUM(C3,C7,C8,C9)</f>
        <v>23675</v>
      </c>
    </row>
    <row r="4" spans="1:4" x14ac:dyDescent="0.2">
      <c r="A4" s="2" t="s">
        <v>14</v>
      </c>
      <c r="B4" s="3">
        <v>11375</v>
      </c>
      <c r="C4" s="12">
        <f>GovByAssemblyDistrict90General[[#This Row],[Part of Westchester County Vote Results]]</f>
        <v>11375</v>
      </c>
      <c r="D4" s="13">
        <f>SUM(C4,C5,C10)</f>
        <v>13096</v>
      </c>
    </row>
    <row r="5" spans="1:4" x14ac:dyDescent="0.2">
      <c r="A5" s="2" t="s">
        <v>15</v>
      </c>
      <c r="B5" s="3">
        <v>1584</v>
      </c>
      <c r="C5" s="12">
        <f>GovByAssemblyDistrict90General[[#This Row],[Part of Westchester County Vote Results]]</f>
        <v>1584</v>
      </c>
      <c r="D5" s="14"/>
    </row>
    <row r="6" spans="1:4" x14ac:dyDescent="0.2">
      <c r="A6" s="2" t="s">
        <v>6</v>
      </c>
      <c r="B6" s="3">
        <v>349</v>
      </c>
      <c r="C6" s="12">
        <f>GovByAssemblyDistrict90General[[#This Row],[Part of Westchester County Vote Results]]</f>
        <v>349</v>
      </c>
      <c r="D6" s="13">
        <f>GovByAssemblyDistrict90General[[#This Row],[Total Votes by Party]]</f>
        <v>349</v>
      </c>
    </row>
    <row r="7" spans="1:4" x14ac:dyDescent="0.2">
      <c r="A7" s="2" t="s">
        <v>7</v>
      </c>
      <c r="B7" s="3">
        <v>463</v>
      </c>
      <c r="C7" s="12">
        <f>GovByAssemblyDistrict90General[[#This Row],[Part of Westchester County Vote Results]]</f>
        <v>463</v>
      </c>
      <c r="D7" s="14"/>
    </row>
    <row r="8" spans="1:4" x14ac:dyDescent="0.2">
      <c r="A8" s="2" t="s">
        <v>8</v>
      </c>
      <c r="B8" s="3">
        <v>343</v>
      </c>
      <c r="C8" s="12">
        <f>GovByAssemblyDistrict90General[[#This Row],[Part of Westchester County Vote Results]]</f>
        <v>343</v>
      </c>
      <c r="D8" s="14"/>
    </row>
    <row r="9" spans="1:4" x14ac:dyDescent="0.2">
      <c r="A9" s="2" t="s">
        <v>9</v>
      </c>
      <c r="B9" s="3">
        <v>189</v>
      </c>
      <c r="C9" s="12">
        <f>GovByAssemblyDistrict90General[[#This Row],[Part of Westchester County Vote Results]]</f>
        <v>189</v>
      </c>
      <c r="D9" s="14"/>
    </row>
    <row r="10" spans="1:4" x14ac:dyDescent="0.2">
      <c r="A10" s="2" t="s">
        <v>16</v>
      </c>
      <c r="B10" s="3">
        <v>137</v>
      </c>
      <c r="C10" s="12">
        <f>GovByAssemblyDistrict90General[[#This Row],[Part of Westchester County Vote Results]]</f>
        <v>137</v>
      </c>
      <c r="D10" s="14"/>
    </row>
    <row r="11" spans="1:4" x14ac:dyDescent="0.2">
      <c r="A11" s="2" t="s">
        <v>10</v>
      </c>
      <c r="B11" s="3">
        <v>191</v>
      </c>
      <c r="C11" s="12">
        <f>GovByAssemblyDistrict90General[[#This Row],[Part of Westchester County Vote Results]]</f>
        <v>191</v>
      </c>
      <c r="D11" s="13">
        <f>GovByAssemblyDistrict90General[[#This Row],[Total Votes by Party]]</f>
        <v>191</v>
      </c>
    </row>
    <row r="12" spans="1:4" x14ac:dyDescent="0.2">
      <c r="A12" s="4" t="s">
        <v>11</v>
      </c>
      <c r="B12" s="5">
        <v>174</v>
      </c>
      <c r="C12" s="12">
        <f>GovByAssemblyDistrict90General[[#This Row],[Part of Westchester County Vote Results]]</f>
        <v>174</v>
      </c>
      <c r="D12" s="13">
        <f>GovByAssemblyDistrict90General[[#This Row],[Total Votes by Party]]</f>
        <v>174</v>
      </c>
    </row>
    <row r="13" spans="1:4" x14ac:dyDescent="0.2">
      <c r="A13" s="4" t="s">
        <v>0</v>
      </c>
      <c r="B13" s="5">
        <v>878</v>
      </c>
      <c r="C13" s="12">
        <f>GovByAssemblyDistrict90General[[#This Row],[Part of Westchester County Vote Results]]</f>
        <v>878</v>
      </c>
      <c r="D13" s="14"/>
    </row>
    <row r="14" spans="1:4" x14ac:dyDescent="0.2">
      <c r="A14" s="4" t="s">
        <v>1</v>
      </c>
      <c r="B14" s="5">
        <v>0</v>
      </c>
      <c r="C14" s="12">
        <f>GovByAssemblyDistrict90General[[#This Row],[Part of Westchester County Vote Results]]</f>
        <v>0</v>
      </c>
      <c r="D14" s="14"/>
    </row>
    <row r="15" spans="1:4" x14ac:dyDescent="0.2">
      <c r="A15" s="4" t="s">
        <v>2</v>
      </c>
      <c r="B15" s="5">
        <v>0</v>
      </c>
      <c r="C15" s="12">
        <f>GovByAssemblyDistrict90General[[#This Row],[Part of Westchester County Vote Results]]</f>
        <v>0</v>
      </c>
      <c r="D15" s="14"/>
    </row>
    <row r="16" spans="1:4" hidden="1" x14ac:dyDescent="0.2">
      <c r="A16" s="4" t="s">
        <v>4</v>
      </c>
      <c r="B16" s="6">
        <f>SUBTOTAL(109,GovByAssemblyDistrict90General[Total Votes by Candidate])</f>
        <v>37485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E240A-B24E-4C72-8719-4CC8C581D7DA}">
  <dimension ref="A1:D16"/>
  <sheetViews>
    <sheetView workbookViewId="0">
      <selection activeCell="B19" sqref="B19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114</v>
      </c>
    </row>
    <row r="2" spans="1:4" ht="24.95" customHeight="1" x14ac:dyDescent="0.2">
      <c r="A2" s="7" t="s">
        <v>12</v>
      </c>
      <c r="B2" s="8" t="s">
        <v>111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27091</v>
      </c>
      <c r="C3" s="12">
        <f>GovByAssemblyDistrict91General[[#This Row],[Part of Westchester County Vote Results]]</f>
        <v>27091</v>
      </c>
      <c r="D3" s="13">
        <f>SUM(C3,C7,C8,C9)</f>
        <v>28236</v>
      </c>
    </row>
    <row r="4" spans="1:4" x14ac:dyDescent="0.2">
      <c r="A4" s="2" t="s">
        <v>14</v>
      </c>
      <c r="B4" s="3">
        <v>10600</v>
      </c>
      <c r="C4" s="12">
        <f>GovByAssemblyDistrict91General[[#This Row],[Part of Westchester County Vote Results]]</f>
        <v>10600</v>
      </c>
      <c r="D4" s="13">
        <f>SUM(C4,C5,C10)</f>
        <v>11795</v>
      </c>
    </row>
    <row r="5" spans="1:4" x14ac:dyDescent="0.2">
      <c r="A5" s="2" t="s">
        <v>15</v>
      </c>
      <c r="B5" s="3">
        <v>1080</v>
      </c>
      <c r="C5" s="12">
        <f>GovByAssemblyDistrict91General[[#This Row],[Part of Westchester County Vote Results]]</f>
        <v>1080</v>
      </c>
      <c r="D5" s="14"/>
    </row>
    <row r="6" spans="1:4" x14ac:dyDescent="0.2">
      <c r="A6" s="2" t="s">
        <v>6</v>
      </c>
      <c r="B6" s="3">
        <v>406</v>
      </c>
      <c r="C6" s="12">
        <f>GovByAssemblyDistrict91General[[#This Row],[Part of Westchester County Vote Results]]</f>
        <v>406</v>
      </c>
      <c r="D6" s="13">
        <f>GovByAssemblyDistrict91General[[#This Row],[Total Votes by Party]]</f>
        <v>406</v>
      </c>
    </row>
    <row r="7" spans="1:4" x14ac:dyDescent="0.2">
      <c r="A7" s="2" t="s">
        <v>7</v>
      </c>
      <c r="B7" s="3">
        <v>493</v>
      </c>
      <c r="C7" s="12">
        <f>GovByAssemblyDistrict91General[[#This Row],[Part of Westchester County Vote Results]]</f>
        <v>493</v>
      </c>
      <c r="D7" s="14"/>
    </row>
    <row r="8" spans="1:4" x14ac:dyDescent="0.2">
      <c r="A8" s="2" t="s">
        <v>8</v>
      </c>
      <c r="B8" s="3">
        <v>410</v>
      </c>
      <c r="C8" s="12">
        <f>GovByAssemblyDistrict91General[[#This Row],[Part of Westchester County Vote Results]]</f>
        <v>410</v>
      </c>
      <c r="D8" s="14"/>
    </row>
    <row r="9" spans="1:4" x14ac:dyDescent="0.2">
      <c r="A9" s="2" t="s">
        <v>9</v>
      </c>
      <c r="B9" s="3">
        <v>242</v>
      </c>
      <c r="C9" s="12">
        <f>GovByAssemblyDistrict91General[[#This Row],[Part of Westchester County Vote Results]]</f>
        <v>242</v>
      </c>
      <c r="D9" s="14"/>
    </row>
    <row r="10" spans="1:4" x14ac:dyDescent="0.2">
      <c r="A10" s="2" t="s">
        <v>16</v>
      </c>
      <c r="B10" s="3">
        <v>115</v>
      </c>
      <c r="C10" s="12">
        <f>GovByAssemblyDistrict91General[[#This Row],[Part of Westchester County Vote Results]]</f>
        <v>115</v>
      </c>
      <c r="D10" s="14"/>
    </row>
    <row r="11" spans="1:4" x14ac:dyDescent="0.2">
      <c r="A11" s="2" t="s">
        <v>10</v>
      </c>
      <c r="B11" s="3">
        <v>207</v>
      </c>
      <c r="C11" s="12">
        <f>GovByAssemblyDistrict91General[[#This Row],[Part of Westchester County Vote Results]]</f>
        <v>207</v>
      </c>
      <c r="D11" s="13">
        <f>GovByAssemblyDistrict91General[[#This Row],[Total Votes by Party]]</f>
        <v>207</v>
      </c>
    </row>
    <row r="12" spans="1:4" x14ac:dyDescent="0.2">
      <c r="A12" s="4" t="s">
        <v>11</v>
      </c>
      <c r="B12" s="5">
        <v>291</v>
      </c>
      <c r="C12" s="12">
        <f>GovByAssemblyDistrict91General[[#This Row],[Part of Westchester County Vote Results]]</f>
        <v>291</v>
      </c>
      <c r="D12" s="13">
        <f>GovByAssemblyDistrict91General[[#This Row],[Total Votes by Party]]</f>
        <v>291</v>
      </c>
    </row>
    <row r="13" spans="1:4" x14ac:dyDescent="0.2">
      <c r="A13" s="4" t="s">
        <v>0</v>
      </c>
      <c r="B13" s="5">
        <v>883</v>
      </c>
      <c r="C13" s="12">
        <f>GovByAssemblyDistrict91General[[#This Row],[Part of Westchester County Vote Results]]</f>
        <v>883</v>
      </c>
      <c r="D13" s="14"/>
    </row>
    <row r="14" spans="1:4" x14ac:dyDescent="0.2">
      <c r="A14" s="4" t="s">
        <v>1</v>
      </c>
      <c r="B14" s="5">
        <v>0</v>
      </c>
      <c r="C14" s="12">
        <f>GovByAssemblyDistrict91General[[#This Row],[Part of Westchester County Vote Results]]</f>
        <v>0</v>
      </c>
      <c r="D14" s="14"/>
    </row>
    <row r="15" spans="1:4" x14ac:dyDescent="0.2">
      <c r="A15" s="4" t="s">
        <v>2</v>
      </c>
      <c r="B15" s="5">
        <v>0</v>
      </c>
      <c r="C15" s="12">
        <f>GovByAssemblyDistrict91General[[#This Row],[Part of Westchester County Vote Results]]</f>
        <v>0</v>
      </c>
      <c r="D15" s="14"/>
    </row>
    <row r="16" spans="1:4" hidden="1" x14ac:dyDescent="0.2">
      <c r="A16" s="4" t="s">
        <v>4</v>
      </c>
      <c r="B16" s="6">
        <f>SUBTOTAL(109,GovByAssemblyDistrict91General[Total Votes by Candidate])</f>
        <v>40935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D9998-94F5-4297-9BD4-39178625ABD8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115</v>
      </c>
    </row>
    <row r="2" spans="1:4" ht="24.95" customHeight="1" x14ac:dyDescent="0.2">
      <c r="A2" s="7" t="s">
        <v>12</v>
      </c>
      <c r="B2" s="8" t="s">
        <v>111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35395</v>
      </c>
      <c r="C3" s="12">
        <f>GovByAssemblyDistrict92General[[#This Row],[Part of Westchester County Vote Results]]</f>
        <v>35395</v>
      </c>
      <c r="D3" s="13">
        <f>SUM(C3,C7,C8,C9)</f>
        <v>37203</v>
      </c>
    </row>
    <row r="4" spans="1:4" x14ac:dyDescent="0.2">
      <c r="A4" s="2" t="s">
        <v>14</v>
      </c>
      <c r="B4" s="3">
        <v>14066</v>
      </c>
      <c r="C4" s="12">
        <f>GovByAssemblyDistrict92General[[#This Row],[Part of Westchester County Vote Results]]</f>
        <v>14066</v>
      </c>
      <c r="D4" s="13">
        <f>SUM(C4,C5,C10)</f>
        <v>15704</v>
      </c>
    </row>
    <row r="5" spans="1:4" x14ac:dyDescent="0.2">
      <c r="A5" s="2" t="s">
        <v>15</v>
      </c>
      <c r="B5" s="3">
        <v>1437</v>
      </c>
      <c r="C5" s="12">
        <f>GovByAssemblyDistrict92General[[#This Row],[Part of Westchester County Vote Results]]</f>
        <v>1437</v>
      </c>
      <c r="D5" s="14"/>
    </row>
    <row r="6" spans="1:4" x14ac:dyDescent="0.2">
      <c r="A6" s="2" t="s">
        <v>6</v>
      </c>
      <c r="B6" s="3">
        <v>765</v>
      </c>
      <c r="C6" s="12">
        <f>GovByAssemblyDistrict92General[[#This Row],[Part of Westchester County Vote Results]]</f>
        <v>765</v>
      </c>
      <c r="D6" s="13">
        <f>GovByAssemblyDistrict92General[[#This Row],[Total Votes by Party]]</f>
        <v>765</v>
      </c>
    </row>
    <row r="7" spans="1:4" x14ac:dyDescent="0.2">
      <c r="A7" s="2" t="s">
        <v>7</v>
      </c>
      <c r="B7" s="3">
        <v>937</v>
      </c>
      <c r="C7" s="12">
        <f>GovByAssemblyDistrict92General[[#This Row],[Part of Westchester County Vote Results]]</f>
        <v>937</v>
      </c>
      <c r="D7" s="14"/>
    </row>
    <row r="8" spans="1:4" x14ac:dyDescent="0.2">
      <c r="A8" s="2" t="s">
        <v>8</v>
      </c>
      <c r="B8" s="3">
        <v>506</v>
      </c>
      <c r="C8" s="12">
        <f>GovByAssemblyDistrict92General[[#This Row],[Part of Westchester County Vote Results]]</f>
        <v>506</v>
      </c>
      <c r="D8" s="14"/>
    </row>
    <row r="9" spans="1:4" x14ac:dyDescent="0.2">
      <c r="A9" s="2" t="s">
        <v>9</v>
      </c>
      <c r="B9" s="3">
        <v>365</v>
      </c>
      <c r="C9" s="12">
        <f>GovByAssemblyDistrict92General[[#This Row],[Part of Westchester County Vote Results]]</f>
        <v>365</v>
      </c>
      <c r="D9" s="14"/>
    </row>
    <row r="10" spans="1:4" x14ac:dyDescent="0.2">
      <c r="A10" s="2" t="s">
        <v>16</v>
      </c>
      <c r="B10" s="3">
        <v>201</v>
      </c>
      <c r="C10" s="12">
        <f>GovByAssemblyDistrict92General[[#This Row],[Part of Westchester County Vote Results]]</f>
        <v>201</v>
      </c>
      <c r="D10" s="14"/>
    </row>
    <row r="11" spans="1:4" x14ac:dyDescent="0.2">
      <c r="A11" s="2" t="s">
        <v>10</v>
      </c>
      <c r="B11" s="3">
        <v>351</v>
      </c>
      <c r="C11" s="12">
        <f>GovByAssemblyDistrict92General[[#This Row],[Part of Westchester County Vote Results]]</f>
        <v>351</v>
      </c>
      <c r="D11" s="13">
        <f>GovByAssemblyDistrict92General[[#This Row],[Total Votes by Party]]</f>
        <v>351</v>
      </c>
    </row>
    <row r="12" spans="1:4" x14ac:dyDescent="0.2">
      <c r="A12" s="4" t="s">
        <v>11</v>
      </c>
      <c r="B12" s="5">
        <v>463</v>
      </c>
      <c r="C12" s="12">
        <f>GovByAssemblyDistrict92General[[#This Row],[Part of Westchester County Vote Results]]</f>
        <v>463</v>
      </c>
      <c r="D12" s="13">
        <f>GovByAssemblyDistrict92General[[#This Row],[Total Votes by Party]]</f>
        <v>463</v>
      </c>
    </row>
    <row r="13" spans="1:4" x14ac:dyDescent="0.2">
      <c r="A13" s="4" t="s">
        <v>0</v>
      </c>
      <c r="B13" s="5">
        <v>1104</v>
      </c>
      <c r="C13" s="12">
        <f>GovByAssemblyDistrict92General[[#This Row],[Part of Westchester County Vote Results]]</f>
        <v>1104</v>
      </c>
      <c r="D13" s="14"/>
    </row>
    <row r="14" spans="1:4" x14ac:dyDescent="0.2">
      <c r="A14" s="4" t="s">
        <v>1</v>
      </c>
      <c r="B14" s="5">
        <v>0</v>
      </c>
      <c r="C14" s="12">
        <f>GovByAssemblyDistrict92General[[#This Row],[Part of Westchester County Vote Results]]</f>
        <v>0</v>
      </c>
      <c r="D14" s="14"/>
    </row>
    <row r="15" spans="1:4" x14ac:dyDescent="0.2">
      <c r="A15" s="4" t="s">
        <v>2</v>
      </c>
      <c r="B15" s="5">
        <v>0</v>
      </c>
      <c r="C15" s="12">
        <f>GovByAssemblyDistrict92General[[#This Row],[Part of Westchester County Vote Results]]</f>
        <v>0</v>
      </c>
      <c r="D15" s="14"/>
    </row>
    <row r="16" spans="1:4" hidden="1" x14ac:dyDescent="0.2">
      <c r="A16" s="4" t="s">
        <v>4</v>
      </c>
      <c r="B16" s="6">
        <f>SUBTOTAL(109,GovByAssemblyDistrict92General[Total Votes by Candidate])</f>
        <v>54486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8073C-4DD8-4AFA-A4C4-941828F39357}">
  <dimension ref="A1:D16"/>
  <sheetViews>
    <sheetView workbookViewId="0">
      <selection activeCell="B19" sqref="B19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116</v>
      </c>
    </row>
    <row r="2" spans="1:4" ht="24.95" customHeight="1" x14ac:dyDescent="0.2">
      <c r="A2" s="7" t="s">
        <v>12</v>
      </c>
      <c r="B2" s="8" t="s">
        <v>111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32590</v>
      </c>
      <c r="C3" s="12">
        <f>GovByAssemblyDistrict93General[[#This Row],[Part of Westchester County Vote Results]]</f>
        <v>32590</v>
      </c>
      <c r="D3" s="13">
        <f>SUM(C3,C7,C8,C9)</f>
        <v>34144</v>
      </c>
    </row>
    <row r="4" spans="1:4" x14ac:dyDescent="0.2">
      <c r="A4" s="2" t="s">
        <v>14</v>
      </c>
      <c r="B4" s="3">
        <v>15146</v>
      </c>
      <c r="C4" s="12">
        <f>GovByAssemblyDistrict93General[[#This Row],[Part of Westchester County Vote Results]]</f>
        <v>15146</v>
      </c>
      <c r="D4" s="13">
        <f>SUM(C4,C5,C10)</f>
        <v>16966</v>
      </c>
    </row>
    <row r="5" spans="1:4" x14ac:dyDescent="0.2">
      <c r="A5" s="2" t="s">
        <v>15</v>
      </c>
      <c r="B5" s="3">
        <v>1656</v>
      </c>
      <c r="C5" s="12">
        <f>GovByAssemblyDistrict93General[[#This Row],[Part of Westchester County Vote Results]]</f>
        <v>1656</v>
      </c>
      <c r="D5" s="14"/>
    </row>
    <row r="6" spans="1:4" x14ac:dyDescent="0.2">
      <c r="A6" s="2" t="s">
        <v>6</v>
      </c>
      <c r="B6" s="3">
        <v>601</v>
      </c>
      <c r="C6" s="12">
        <f>GovByAssemblyDistrict93General[[#This Row],[Part of Westchester County Vote Results]]</f>
        <v>601</v>
      </c>
      <c r="D6" s="13">
        <f>GovByAssemblyDistrict93General[[#This Row],[Total Votes by Party]]</f>
        <v>601</v>
      </c>
    </row>
    <row r="7" spans="1:4" x14ac:dyDescent="0.2">
      <c r="A7" s="2" t="s">
        <v>7</v>
      </c>
      <c r="B7" s="3">
        <v>626</v>
      </c>
      <c r="C7" s="12">
        <f>GovByAssemblyDistrict93General[[#This Row],[Part of Westchester County Vote Results]]</f>
        <v>626</v>
      </c>
      <c r="D7" s="14"/>
    </row>
    <row r="8" spans="1:4" x14ac:dyDescent="0.2">
      <c r="A8" s="2" t="s">
        <v>8</v>
      </c>
      <c r="B8" s="3">
        <v>612</v>
      </c>
      <c r="C8" s="12">
        <f>GovByAssemblyDistrict93General[[#This Row],[Part of Westchester County Vote Results]]</f>
        <v>612</v>
      </c>
      <c r="D8" s="14"/>
    </row>
    <row r="9" spans="1:4" x14ac:dyDescent="0.2">
      <c r="A9" s="2" t="s">
        <v>9</v>
      </c>
      <c r="B9" s="3">
        <v>316</v>
      </c>
      <c r="C9" s="12">
        <f>GovByAssemblyDistrict93General[[#This Row],[Part of Westchester County Vote Results]]</f>
        <v>316</v>
      </c>
      <c r="D9" s="14"/>
    </row>
    <row r="10" spans="1:4" x14ac:dyDescent="0.2">
      <c r="A10" s="2" t="s">
        <v>16</v>
      </c>
      <c r="B10" s="3">
        <v>164</v>
      </c>
      <c r="C10" s="12">
        <f>GovByAssemblyDistrict93General[[#This Row],[Part of Westchester County Vote Results]]</f>
        <v>164</v>
      </c>
      <c r="D10" s="14"/>
    </row>
    <row r="11" spans="1:4" x14ac:dyDescent="0.2">
      <c r="A11" s="2" t="s">
        <v>10</v>
      </c>
      <c r="B11" s="3">
        <v>253</v>
      </c>
      <c r="C11" s="12">
        <f>GovByAssemblyDistrict93General[[#This Row],[Part of Westchester County Vote Results]]</f>
        <v>253</v>
      </c>
      <c r="D11" s="13">
        <f>GovByAssemblyDistrict93General[[#This Row],[Total Votes by Party]]</f>
        <v>253</v>
      </c>
    </row>
    <row r="12" spans="1:4" x14ac:dyDescent="0.2">
      <c r="A12" s="4" t="s">
        <v>11</v>
      </c>
      <c r="B12" s="5">
        <v>402</v>
      </c>
      <c r="C12" s="12">
        <f>GovByAssemblyDistrict93General[[#This Row],[Part of Westchester County Vote Results]]</f>
        <v>402</v>
      </c>
      <c r="D12" s="13">
        <f>GovByAssemblyDistrict93General[[#This Row],[Total Votes by Party]]</f>
        <v>402</v>
      </c>
    </row>
    <row r="13" spans="1:4" x14ac:dyDescent="0.2">
      <c r="A13" s="4" t="s">
        <v>0</v>
      </c>
      <c r="B13" s="5">
        <v>953</v>
      </c>
      <c r="C13" s="12">
        <f>GovByAssemblyDistrict93General[[#This Row],[Part of Westchester County Vote Results]]</f>
        <v>953</v>
      </c>
      <c r="D13" s="14"/>
    </row>
    <row r="14" spans="1:4" x14ac:dyDescent="0.2">
      <c r="A14" s="4" t="s">
        <v>1</v>
      </c>
      <c r="B14" s="5">
        <v>0</v>
      </c>
      <c r="C14" s="12">
        <f>GovByAssemblyDistrict93General[[#This Row],[Part of Westchester County Vote Results]]</f>
        <v>0</v>
      </c>
      <c r="D14" s="14"/>
    </row>
    <row r="15" spans="1:4" x14ac:dyDescent="0.2">
      <c r="A15" s="4" t="s">
        <v>2</v>
      </c>
      <c r="B15" s="5">
        <v>0</v>
      </c>
      <c r="C15" s="12">
        <f>GovByAssemblyDistrict93General[[#This Row],[Part of Westchester County Vote Results]]</f>
        <v>0</v>
      </c>
      <c r="D15" s="14"/>
    </row>
    <row r="16" spans="1:4" hidden="1" x14ac:dyDescent="0.2">
      <c r="A16" s="4" t="s">
        <v>4</v>
      </c>
      <c r="B16" s="6">
        <f>SUBTOTAL(109,GovByAssemblyDistrict93General[Total Votes by Candidate])</f>
        <v>52366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6AB68-BE0F-4EE0-BEFE-9F181E5726CB}">
  <dimension ref="A1:E16"/>
  <sheetViews>
    <sheetView workbookViewId="0">
      <selection activeCell="C18" sqref="C18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24.75" customHeight="1" x14ac:dyDescent="0.2">
      <c r="A1" s="1" t="s">
        <v>117</v>
      </c>
    </row>
    <row r="2" spans="1:5" ht="25.5" x14ac:dyDescent="0.2">
      <c r="A2" s="7" t="s">
        <v>12</v>
      </c>
      <c r="B2" s="8" t="s">
        <v>118</v>
      </c>
      <c r="C2" s="8" t="s">
        <v>111</v>
      </c>
      <c r="D2" s="10" t="s">
        <v>228</v>
      </c>
      <c r="E2" s="11" t="s">
        <v>5</v>
      </c>
    </row>
    <row r="3" spans="1:5" x14ac:dyDescent="0.2">
      <c r="A3" s="2" t="s">
        <v>3</v>
      </c>
      <c r="B3" s="3">
        <v>10601</v>
      </c>
      <c r="C3" s="3">
        <v>11926</v>
      </c>
      <c r="D3" s="12">
        <f>SUM(GovByAssemblyDistrict94General[[#This Row],[Part of Putnam County Vote Results]:[Part of Westchester County Vote Results]])</f>
        <v>22527</v>
      </c>
      <c r="E3" s="13">
        <f>SUM(D3,D7,D8,D9)</f>
        <v>24016</v>
      </c>
    </row>
    <row r="4" spans="1:5" x14ac:dyDescent="0.2">
      <c r="A4" s="2" t="s">
        <v>14</v>
      </c>
      <c r="B4" s="3">
        <v>14214</v>
      </c>
      <c r="C4" s="3">
        <v>10807</v>
      </c>
      <c r="D4" s="12">
        <f>SUM(GovByAssemblyDistrict94General[[#This Row],[Part of Putnam County Vote Results]:[Part of Westchester County Vote Results]])</f>
        <v>25021</v>
      </c>
      <c r="E4" s="13">
        <f>SUM(D4,D5,D10)</f>
        <v>28431</v>
      </c>
    </row>
    <row r="5" spans="1:5" x14ac:dyDescent="0.2">
      <c r="A5" s="2" t="s">
        <v>15</v>
      </c>
      <c r="B5" s="3">
        <v>1859</v>
      </c>
      <c r="C5" s="3">
        <v>1317</v>
      </c>
      <c r="D5" s="12">
        <f>SUM(GovByAssemblyDistrict94General[[#This Row],[Part of Putnam County Vote Results]:[Part of Westchester County Vote Results]])</f>
        <v>3176</v>
      </c>
      <c r="E5" s="14"/>
    </row>
    <row r="6" spans="1:5" x14ac:dyDescent="0.2">
      <c r="A6" s="2" t="s">
        <v>6</v>
      </c>
      <c r="B6" s="3">
        <v>295</v>
      </c>
      <c r="C6" s="3">
        <v>233</v>
      </c>
      <c r="D6" s="12">
        <f>SUM(GovByAssemblyDistrict94General[[#This Row],[Part of Putnam County Vote Results]:[Part of Westchester County Vote Results]])</f>
        <v>528</v>
      </c>
      <c r="E6" s="13">
        <f>GovByAssemblyDistrict94General[[#This Row],[Total Votes by Party]]</f>
        <v>528</v>
      </c>
    </row>
    <row r="7" spans="1:5" x14ac:dyDescent="0.2">
      <c r="A7" s="2" t="s">
        <v>7</v>
      </c>
      <c r="B7" s="3">
        <v>314</v>
      </c>
      <c r="C7" s="3">
        <v>288</v>
      </c>
      <c r="D7" s="12">
        <f>SUM(GovByAssemblyDistrict94General[[#This Row],[Part of Putnam County Vote Results]:[Part of Westchester County Vote Results]])</f>
        <v>602</v>
      </c>
      <c r="E7" s="14"/>
    </row>
    <row r="8" spans="1:5" x14ac:dyDescent="0.2">
      <c r="A8" s="2" t="s">
        <v>8</v>
      </c>
      <c r="B8" s="3">
        <v>370</v>
      </c>
      <c r="C8" s="3">
        <v>253</v>
      </c>
      <c r="D8" s="12">
        <f>SUM(GovByAssemblyDistrict94General[[#This Row],[Part of Putnam County Vote Results]:[Part of Westchester County Vote Results]])</f>
        <v>623</v>
      </c>
      <c r="E8" s="14"/>
    </row>
    <row r="9" spans="1:5" x14ac:dyDescent="0.2">
      <c r="A9" s="2" t="s">
        <v>9</v>
      </c>
      <c r="B9" s="3">
        <v>151</v>
      </c>
      <c r="C9" s="3">
        <v>113</v>
      </c>
      <c r="D9" s="12">
        <f>SUM(GovByAssemblyDistrict94General[[#This Row],[Part of Putnam County Vote Results]:[Part of Westchester County Vote Results]])</f>
        <v>264</v>
      </c>
      <c r="E9" s="14"/>
    </row>
    <row r="10" spans="1:5" x14ac:dyDescent="0.2">
      <c r="A10" s="2" t="s">
        <v>16</v>
      </c>
      <c r="B10" s="3">
        <v>130</v>
      </c>
      <c r="C10" s="3">
        <v>104</v>
      </c>
      <c r="D10" s="12">
        <f>SUM(GovByAssemblyDistrict94General[[#This Row],[Part of Putnam County Vote Results]:[Part of Westchester County Vote Results]])</f>
        <v>234</v>
      </c>
      <c r="E10" s="14"/>
    </row>
    <row r="11" spans="1:5" x14ac:dyDescent="0.2">
      <c r="A11" s="2" t="s">
        <v>10</v>
      </c>
      <c r="B11" s="3">
        <v>230</v>
      </c>
      <c r="C11" s="3">
        <v>180</v>
      </c>
      <c r="D11" s="12">
        <f>SUM(GovByAssemblyDistrict94General[[#This Row],[Part of Putnam County Vote Results]:[Part of Westchester County Vote Results]])</f>
        <v>410</v>
      </c>
      <c r="E11" s="13">
        <f>GovByAssemblyDistrict94General[[#This Row],[Total Votes by Party]]</f>
        <v>410</v>
      </c>
    </row>
    <row r="12" spans="1:5" x14ac:dyDescent="0.2">
      <c r="A12" s="4" t="s">
        <v>11</v>
      </c>
      <c r="B12" s="3">
        <v>188</v>
      </c>
      <c r="C12" s="3">
        <v>119</v>
      </c>
      <c r="D12" s="12">
        <f>SUM(GovByAssemblyDistrict94General[[#This Row],[Part of Putnam County Vote Results]:[Part of Westchester County Vote Results]])</f>
        <v>307</v>
      </c>
      <c r="E12" s="13">
        <f>GovByAssemblyDistrict94General[[#This Row],[Total Votes by Party]]</f>
        <v>307</v>
      </c>
    </row>
    <row r="13" spans="1:5" x14ac:dyDescent="0.2">
      <c r="A13" s="4" t="s">
        <v>0</v>
      </c>
      <c r="B13" s="3">
        <v>931</v>
      </c>
      <c r="C13" s="3">
        <v>405</v>
      </c>
      <c r="D13" s="12">
        <f>SUM(GovByAssemblyDistrict94General[[#This Row],[Part of Putnam County Vote Results]:[Part of Westchester County Vote Results]])</f>
        <v>1336</v>
      </c>
      <c r="E13" s="14"/>
    </row>
    <row r="14" spans="1:5" x14ac:dyDescent="0.2">
      <c r="A14" s="4" t="s">
        <v>1</v>
      </c>
      <c r="B14" s="3">
        <v>0</v>
      </c>
      <c r="C14" s="3">
        <v>0</v>
      </c>
      <c r="D14" s="12">
        <f>SUM(GovByAssemblyDistrict94General[[#This Row],[Part of Putnam County Vote Results]:[Part of Westchester County Vote Results]])</f>
        <v>0</v>
      </c>
      <c r="E14" s="14"/>
    </row>
    <row r="15" spans="1:5" x14ac:dyDescent="0.2">
      <c r="A15" s="4" t="s">
        <v>2</v>
      </c>
      <c r="B15" s="5">
        <v>9</v>
      </c>
      <c r="C15" s="5">
        <v>0</v>
      </c>
      <c r="D15" s="12">
        <f>SUM(GovByAssemblyDistrict94General[[#This Row],[Part of Putnam County Vote Results]:[Part of Westchester County Vote Results]])</f>
        <v>9</v>
      </c>
      <c r="E15" s="14"/>
    </row>
    <row r="16" spans="1:5" hidden="1" x14ac:dyDescent="0.2">
      <c r="A16" s="4" t="s">
        <v>4</v>
      </c>
      <c r="B16" s="6">
        <f>SUBTOTAL(109,GovByAssemblyDistrict94General[Part of Putnam County Vote Results])</f>
        <v>29292</v>
      </c>
      <c r="C16" s="6">
        <f>SUBTOTAL(109,GovByAssemblyDistrict94General[Part of Westchester County Vote Results])</f>
        <v>25745</v>
      </c>
      <c r="D16" s="6"/>
      <c r="E16" s="9"/>
    </row>
  </sheetData>
  <pageMargins left="0.7" right="0.7" top="0.75" bottom="0.75" header="0.3" footer="0.3"/>
  <tableParts count="1">
    <tablePart r:id="rId1"/>
  </tableParts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3F4BD-890F-4CBB-9F1B-CE86A2E07B09}">
  <dimension ref="A1:E16"/>
  <sheetViews>
    <sheetView workbookViewId="0">
      <selection activeCell="C18" sqref="C18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24.75" customHeight="1" x14ac:dyDescent="0.2">
      <c r="A1" s="1" t="s">
        <v>119</v>
      </c>
    </row>
    <row r="2" spans="1:5" ht="25.5" x14ac:dyDescent="0.2">
      <c r="A2" s="7" t="s">
        <v>12</v>
      </c>
      <c r="B2" s="8" t="s">
        <v>118</v>
      </c>
      <c r="C2" s="8" t="s">
        <v>111</v>
      </c>
      <c r="D2" s="10" t="s">
        <v>228</v>
      </c>
      <c r="E2" s="11" t="s">
        <v>5</v>
      </c>
    </row>
    <row r="3" spans="1:5" x14ac:dyDescent="0.2">
      <c r="A3" s="2" t="s">
        <v>3</v>
      </c>
      <c r="B3" s="3">
        <v>4719</v>
      </c>
      <c r="C3" s="3">
        <v>22337</v>
      </c>
      <c r="D3" s="12">
        <f>SUM(GovByAssemblyDistrict95General[[#This Row],[Part of Putnam County Vote Results]:[Part of Westchester County Vote Results]])</f>
        <v>27056</v>
      </c>
      <c r="E3" s="13">
        <f>SUM(D3,D7,D8,D9)</f>
        <v>28892</v>
      </c>
    </row>
    <row r="4" spans="1:5" x14ac:dyDescent="0.2">
      <c r="A4" s="2" t="s">
        <v>14</v>
      </c>
      <c r="B4" s="3">
        <v>3970</v>
      </c>
      <c r="C4" s="3">
        <v>10466</v>
      </c>
      <c r="D4" s="12">
        <f>SUM(GovByAssemblyDistrict95General[[#This Row],[Part of Putnam County Vote Results]:[Part of Westchester County Vote Results]])</f>
        <v>14436</v>
      </c>
      <c r="E4" s="13">
        <f>SUM(D4,D5,D10)</f>
        <v>16575</v>
      </c>
    </row>
    <row r="5" spans="1:5" x14ac:dyDescent="0.2">
      <c r="A5" s="2" t="s">
        <v>15</v>
      </c>
      <c r="B5" s="3">
        <v>680</v>
      </c>
      <c r="C5" s="3">
        <v>1245</v>
      </c>
      <c r="D5" s="12">
        <f>SUM(GovByAssemblyDistrict95General[[#This Row],[Part of Putnam County Vote Results]:[Part of Westchester County Vote Results]])</f>
        <v>1925</v>
      </c>
      <c r="E5" s="14"/>
    </row>
    <row r="6" spans="1:5" x14ac:dyDescent="0.2">
      <c r="A6" s="2" t="s">
        <v>6</v>
      </c>
      <c r="B6" s="3">
        <v>163</v>
      </c>
      <c r="C6" s="3">
        <v>574</v>
      </c>
      <c r="D6" s="12">
        <f>SUM(GovByAssemblyDistrict95General[[#This Row],[Part of Putnam County Vote Results]:[Part of Westchester County Vote Results]])</f>
        <v>737</v>
      </c>
      <c r="E6" s="13">
        <f>GovByAssemblyDistrict95General[[#This Row],[Total Votes by Party]]</f>
        <v>737</v>
      </c>
    </row>
    <row r="7" spans="1:5" x14ac:dyDescent="0.2">
      <c r="A7" s="2" t="s">
        <v>7</v>
      </c>
      <c r="B7" s="3">
        <v>202</v>
      </c>
      <c r="C7" s="3">
        <v>783</v>
      </c>
      <c r="D7" s="12">
        <f>SUM(GovByAssemblyDistrict95General[[#This Row],[Part of Putnam County Vote Results]:[Part of Westchester County Vote Results]])</f>
        <v>985</v>
      </c>
      <c r="E7" s="14"/>
    </row>
    <row r="8" spans="1:5" x14ac:dyDescent="0.2">
      <c r="A8" s="2" t="s">
        <v>8</v>
      </c>
      <c r="B8" s="3">
        <v>133</v>
      </c>
      <c r="C8" s="3">
        <v>415</v>
      </c>
      <c r="D8" s="12">
        <f>SUM(GovByAssemblyDistrict95General[[#This Row],[Part of Putnam County Vote Results]:[Part of Westchester County Vote Results]])</f>
        <v>548</v>
      </c>
      <c r="E8" s="14"/>
    </row>
    <row r="9" spans="1:5" x14ac:dyDescent="0.2">
      <c r="A9" s="2" t="s">
        <v>9</v>
      </c>
      <c r="B9" s="3">
        <v>66</v>
      </c>
      <c r="C9" s="3">
        <v>237</v>
      </c>
      <c r="D9" s="12">
        <f>SUM(GovByAssemblyDistrict95General[[#This Row],[Part of Putnam County Vote Results]:[Part of Westchester County Vote Results]])</f>
        <v>303</v>
      </c>
      <c r="E9" s="14"/>
    </row>
    <row r="10" spans="1:5" x14ac:dyDescent="0.2">
      <c r="A10" s="2" t="s">
        <v>16</v>
      </c>
      <c r="B10" s="3">
        <v>61</v>
      </c>
      <c r="C10" s="3">
        <v>153</v>
      </c>
      <c r="D10" s="12">
        <f>SUM(GovByAssemblyDistrict95General[[#This Row],[Part of Putnam County Vote Results]:[Part of Westchester County Vote Results]])</f>
        <v>214</v>
      </c>
      <c r="E10" s="14"/>
    </row>
    <row r="11" spans="1:5" x14ac:dyDescent="0.2">
      <c r="A11" s="2" t="s">
        <v>10</v>
      </c>
      <c r="B11" s="3">
        <v>102</v>
      </c>
      <c r="C11" s="3">
        <v>253</v>
      </c>
      <c r="D11" s="12">
        <f>SUM(GovByAssemblyDistrict95General[[#This Row],[Part of Putnam County Vote Results]:[Part of Westchester County Vote Results]])</f>
        <v>355</v>
      </c>
      <c r="E11" s="13">
        <f>GovByAssemblyDistrict95General[[#This Row],[Total Votes by Party]]</f>
        <v>355</v>
      </c>
    </row>
    <row r="12" spans="1:5" x14ac:dyDescent="0.2">
      <c r="A12" s="4" t="s">
        <v>11</v>
      </c>
      <c r="B12" s="3">
        <v>65</v>
      </c>
      <c r="C12" s="3">
        <v>317</v>
      </c>
      <c r="D12" s="12">
        <f>SUM(GovByAssemblyDistrict95General[[#This Row],[Part of Putnam County Vote Results]:[Part of Westchester County Vote Results]])</f>
        <v>382</v>
      </c>
      <c r="E12" s="13">
        <f>GovByAssemblyDistrict95General[[#This Row],[Total Votes by Party]]</f>
        <v>382</v>
      </c>
    </row>
    <row r="13" spans="1:5" x14ac:dyDescent="0.2">
      <c r="A13" s="4" t="s">
        <v>0</v>
      </c>
      <c r="B13" s="3">
        <v>318</v>
      </c>
      <c r="C13" s="3">
        <v>693</v>
      </c>
      <c r="D13" s="12">
        <f>SUM(GovByAssemblyDistrict95General[[#This Row],[Part of Putnam County Vote Results]:[Part of Westchester County Vote Results]])</f>
        <v>1011</v>
      </c>
      <c r="E13" s="14"/>
    </row>
    <row r="14" spans="1:5" x14ac:dyDescent="0.2">
      <c r="A14" s="4" t="s">
        <v>1</v>
      </c>
      <c r="B14" s="3">
        <v>0</v>
      </c>
      <c r="C14" s="3">
        <v>0</v>
      </c>
      <c r="D14" s="12">
        <f>SUM(GovByAssemblyDistrict95General[[#This Row],[Part of Putnam County Vote Results]:[Part of Westchester County Vote Results]])</f>
        <v>0</v>
      </c>
      <c r="E14" s="14"/>
    </row>
    <row r="15" spans="1:5" x14ac:dyDescent="0.2">
      <c r="A15" s="4" t="s">
        <v>2</v>
      </c>
      <c r="B15" s="5">
        <v>13</v>
      </c>
      <c r="C15" s="5">
        <v>0</v>
      </c>
      <c r="D15" s="12">
        <f>SUM(GovByAssemblyDistrict95General[[#This Row],[Part of Putnam County Vote Results]:[Part of Westchester County Vote Results]])</f>
        <v>13</v>
      </c>
      <c r="E15" s="14"/>
    </row>
    <row r="16" spans="1:5" hidden="1" x14ac:dyDescent="0.2">
      <c r="A16" s="4" t="s">
        <v>4</v>
      </c>
      <c r="B16" s="6">
        <f>SUBTOTAL(109,GovByAssemblyDistrict95General[Part of Putnam County Vote Results])</f>
        <v>10492</v>
      </c>
      <c r="C16" s="6">
        <f>SUBTOTAL(109,GovByAssemblyDistrict95General[Part of Westchester County Vote Results])</f>
        <v>37473</v>
      </c>
      <c r="D16" s="6"/>
      <c r="E16" s="9"/>
    </row>
  </sheetData>
  <pageMargins left="0.7" right="0.7" top="0.75" bottom="0.75" header="0.3" footer="0.3"/>
  <tableParts count="1">
    <tablePart r:id="rId1"/>
  </tableParts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335C4-C0EC-4F06-B3FD-89AB42BF3242}">
  <dimension ref="A1:D16"/>
  <sheetViews>
    <sheetView workbookViewId="0">
      <selection activeCell="C18" sqref="C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120</v>
      </c>
    </row>
    <row r="2" spans="1:4" ht="24.95" customHeight="1" x14ac:dyDescent="0.2">
      <c r="A2" s="7" t="s">
        <v>12</v>
      </c>
      <c r="B2" s="8" t="s">
        <v>121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25352</v>
      </c>
      <c r="C3" s="12">
        <f>GovByAssemblyDistrict96General[[#This Row],[Part of Rockland County Vote Results]]</f>
        <v>25352</v>
      </c>
      <c r="D3" s="13">
        <f>SUM(C3,C7,C8,C9)</f>
        <v>26567</v>
      </c>
    </row>
    <row r="4" spans="1:4" x14ac:dyDescent="0.2">
      <c r="A4" s="2" t="s">
        <v>14</v>
      </c>
      <c r="B4" s="3">
        <v>16819</v>
      </c>
      <c r="C4" s="12">
        <f>GovByAssemblyDistrict96General[[#This Row],[Part of Rockland County Vote Results]]</f>
        <v>16819</v>
      </c>
      <c r="D4" s="13">
        <f>SUM(C4,C5,C10)</f>
        <v>20543</v>
      </c>
    </row>
    <row r="5" spans="1:4" x14ac:dyDescent="0.2">
      <c r="A5" s="2" t="s">
        <v>15</v>
      </c>
      <c r="B5" s="3">
        <v>2118</v>
      </c>
      <c r="C5" s="12">
        <f>GovByAssemblyDistrict96General[[#This Row],[Part of Rockland County Vote Results]]</f>
        <v>2118</v>
      </c>
      <c r="D5" s="14"/>
    </row>
    <row r="6" spans="1:4" x14ac:dyDescent="0.2">
      <c r="A6" s="2" t="s">
        <v>6</v>
      </c>
      <c r="B6" s="3">
        <v>513</v>
      </c>
      <c r="C6" s="12">
        <f>GovByAssemblyDistrict96General[[#This Row],[Part of Rockland County Vote Results]]</f>
        <v>513</v>
      </c>
      <c r="D6" s="13">
        <f>GovByAssemblyDistrict96General[[#This Row],[Total Votes by Party]]</f>
        <v>513</v>
      </c>
    </row>
    <row r="7" spans="1:4" x14ac:dyDescent="0.2">
      <c r="A7" s="2" t="s">
        <v>7</v>
      </c>
      <c r="B7" s="3">
        <v>559</v>
      </c>
      <c r="C7" s="12">
        <f>GovByAssemblyDistrict96General[[#This Row],[Part of Rockland County Vote Results]]</f>
        <v>559</v>
      </c>
      <c r="D7" s="14"/>
    </row>
    <row r="8" spans="1:4" x14ac:dyDescent="0.2">
      <c r="A8" s="2" t="s">
        <v>8</v>
      </c>
      <c r="B8" s="3">
        <v>418</v>
      </c>
      <c r="C8" s="12">
        <f>GovByAssemblyDistrict96General[[#This Row],[Part of Rockland County Vote Results]]</f>
        <v>418</v>
      </c>
      <c r="D8" s="14"/>
    </row>
    <row r="9" spans="1:4" x14ac:dyDescent="0.2">
      <c r="A9" s="2" t="s">
        <v>9</v>
      </c>
      <c r="B9" s="3">
        <v>238</v>
      </c>
      <c r="C9" s="12">
        <f>GovByAssemblyDistrict96General[[#This Row],[Part of Rockland County Vote Results]]</f>
        <v>238</v>
      </c>
      <c r="D9" s="14"/>
    </row>
    <row r="10" spans="1:4" x14ac:dyDescent="0.2">
      <c r="A10" s="2" t="s">
        <v>16</v>
      </c>
      <c r="B10" s="3">
        <v>1606</v>
      </c>
      <c r="C10" s="12">
        <f>GovByAssemblyDistrict96General[[#This Row],[Part of Rockland County Vote Results]]</f>
        <v>1606</v>
      </c>
      <c r="D10" s="14"/>
    </row>
    <row r="11" spans="1:4" x14ac:dyDescent="0.2">
      <c r="A11" s="2" t="s">
        <v>10</v>
      </c>
      <c r="B11" s="3">
        <v>358</v>
      </c>
      <c r="C11" s="12">
        <f>GovByAssemblyDistrict96General[[#This Row],[Part of Rockland County Vote Results]]</f>
        <v>358</v>
      </c>
      <c r="D11" s="13">
        <f>GovByAssemblyDistrict96General[[#This Row],[Total Votes by Party]]</f>
        <v>358</v>
      </c>
    </row>
    <row r="12" spans="1:4" x14ac:dyDescent="0.2">
      <c r="A12" s="4" t="s">
        <v>11</v>
      </c>
      <c r="B12" s="5">
        <v>264</v>
      </c>
      <c r="C12" s="12">
        <f>GovByAssemblyDistrict96General[[#This Row],[Part of Rockland County Vote Results]]</f>
        <v>264</v>
      </c>
      <c r="D12" s="13">
        <f>GovByAssemblyDistrict96General[[#This Row],[Total Votes by Party]]</f>
        <v>264</v>
      </c>
    </row>
    <row r="13" spans="1:4" x14ac:dyDescent="0.2">
      <c r="A13" s="4" t="s">
        <v>0</v>
      </c>
      <c r="B13" s="5">
        <v>851</v>
      </c>
      <c r="C13" s="12">
        <f>GovByAssemblyDistrict96General[[#This Row],[Part of Rockland County Vote Results]]</f>
        <v>851</v>
      </c>
      <c r="D13" s="14"/>
    </row>
    <row r="14" spans="1:4" x14ac:dyDescent="0.2">
      <c r="A14" s="4" t="s">
        <v>1</v>
      </c>
      <c r="B14" s="5">
        <v>117</v>
      </c>
      <c r="C14" s="12">
        <f>GovByAssemblyDistrict96General[[#This Row],[Part of Rockland County Vote Results]]</f>
        <v>117</v>
      </c>
      <c r="D14" s="14"/>
    </row>
    <row r="15" spans="1:4" x14ac:dyDescent="0.2">
      <c r="A15" s="4" t="s">
        <v>2</v>
      </c>
      <c r="B15" s="5">
        <v>21</v>
      </c>
      <c r="C15" s="12">
        <f>GovByAssemblyDistrict96General[[#This Row],[Part of Rockland County Vote Results]]</f>
        <v>21</v>
      </c>
      <c r="D15" s="14"/>
    </row>
    <row r="16" spans="1:4" hidden="1" x14ac:dyDescent="0.2">
      <c r="A16" s="4" t="s">
        <v>4</v>
      </c>
      <c r="B16" s="6">
        <f>SUBTOTAL(109,GovByAssemblyDistrict96General[Total Votes by Candidate])</f>
        <v>48245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117A1-49E5-4A6C-B557-01B98448CADD}">
  <dimension ref="A1:D16"/>
  <sheetViews>
    <sheetView workbookViewId="0">
      <selection activeCell="C19" sqref="C19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122</v>
      </c>
    </row>
    <row r="2" spans="1:4" ht="24.95" customHeight="1" x14ac:dyDescent="0.2">
      <c r="A2" s="7" t="s">
        <v>12</v>
      </c>
      <c r="B2" s="8" t="s">
        <v>121</v>
      </c>
      <c r="C2" s="10" t="s">
        <v>228</v>
      </c>
      <c r="D2" s="11" t="s">
        <v>5</v>
      </c>
    </row>
    <row r="3" spans="1:4" x14ac:dyDescent="0.2">
      <c r="A3" s="2" t="s">
        <v>3</v>
      </c>
      <c r="B3" s="3">
        <v>22506</v>
      </c>
      <c r="C3" s="12">
        <f>GovByAssemblyDistrict97General[[#This Row],[Part of Rockland County Vote Results]]</f>
        <v>22506</v>
      </c>
      <c r="D3" s="13">
        <f>SUM(C3,C7,C8,C9)</f>
        <v>23751</v>
      </c>
    </row>
    <row r="4" spans="1:4" x14ac:dyDescent="0.2">
      <c r="A4" s="2" t="s">
        <v>14</v>
      </c>
      <c r="B4" s="3">
        <v>13567</v>
      </c>
      <c r="C4" s="12">
        <f>GovByAssemblyDistrict97General[[#This Row],[Part of Rockland County Vote Results]]</f>
        <v>13567</v>
      </c>
      <c r="D4" s="13">
        <f>SUM(C4,C5,C10)</f>
        <v>16454</v>
      </c>
    </row>
    <row r="5" spans="1:4" x14ac:dyDescent="0.2">
      <c r="A5" s="2" t="s">
        <v>15</v>
      </c>
      <c r="B5" s="3">
        <v>1846</v>
      </c>
      <c r="C5" s="12">
        <f>GovByAssemblyDistrict97General[[#This Row],[Part of Rockland County Vote Results]]</f>
        <v>1846</v>
      </c>
      <c r="D5" s="14"/>
    </row>
    <row r="6" spans="1:4" x14ac:dyDescent="0.2">
      <c r="A6" s="2" t="s">
        <v>6</v>
      </c>
      <c r="B6" s="3">
        <v>548</v>
      </c>
      <c r="C6" s="12">
        <f>GovByAssemblyDistrict97General[[#This Row],[Part of Rockland County Vote Results]]</f>
        <v>548</v>
      </c>
      <c r="D6" s="13">
        <f>GovByAssemblyDistrict97General[[#This Row],[Total Votes by Party]]</f>
        <v>548</v>
      </c>
    </row>
    <row r="7" spans="1:4" x14ac:dyDescent="0.2">
      <c r="A7" s="2" t="s">
        <v>7</v>
      </c>
      <c r="B7" s="3">
        <v>554</v>
      </c>
      <c r="C7" s="12">
        <f>GovByAssemblyDistrict97General[[#This Row],[Part of Rockland County Vote Results]]</f>
        <v>554</v>
      </c>
      <c r="D7" s="14"/>
    </row>
    <row r="8" spans="1:4" x14ac:dyDescent="0.2">
      <c r="A8" s="2" t="s">
        <v>8</v>
      </c>
      <c r="B8" s="3">
        <v>452</v>
      </c>
      <c r="C8" s="12">
        <f>GovByAssemblyDistrict97General[[#This Row],[Part of Rockland County Vote Results]]</f>
        <v>452</v>
      </c>
      <c r="D8" s="14"/>
    </row>
    <row r="9" spans="1:4" x14ac:dyDescent="0.2">
      <c r="A9" s="2" t="s">
        <v>9</v>
      </c>
      <c r="B9" s="3">
        <v>239</v>
      </c>
      <c r="C9" s="12">
        <f>GovByAssemblyDistrict97General[[#This Row],[Part of Rockland County Vote Results]]</f>
        <v>239</v>
      </c>
      <c r="D9" s="14"/>
    </row>
    <row r="10" spans="1:4" x14ac:dyDescent="0.2">
      <c r="A10" s="2" t="s">
        <v>16</v>
      </c>
      <c r="B10" s="3">
        <v>1041</v>
      </c>
      <c r="C10" s="12">
        <f>GovByAssemblyDistrict97General[[#This Row],[Part of Rockland County Vote Results]]</f>
        <v>1041</v>
      </c>
      <c r="D10" s="14"/>
    </row>
    <row r="11" spans="1:4" x14ac:dyDescent="0.2">
      <c r="A11" s="2" t="s">
        <v>10</v>
      </c>
      <c r="B11" s="3">
        <v>267</v>
      </c>
      <c r="C11" s="12">
        <f>GovByAssemblyDistrict97General[[#This Row],[Part of Rockland County Vote Results]]</f>
        <v>267</v>
      </c>
      <c r="D11" s="13">
        <f>GovByAssemblyDistrict97General[[#This Row],[Total Votes by Party]]</f>
        <v>267</v>
      </c>
    </row>
    <row r="12" spans="1:4" x14ac:dyDescent="0.2">
      <c r="A12" s="4" t="s">
        <v>11</v>
      </c>
      <c r="B12" s="5">
        <v>423</v>
      </c>
      <c r="C12" s="12">
        <f>GovByAssemblyDistrict97General[[#This Row],[Part of Rockland County Vote Results]]</f>
        <v>423</v>
      </c>
      <c r="D12" s="13">
        <f>GovByAssemblyDistrict97General[[#This Row],[Total Votes by Party]]</f>
        <v>423</v>
      </c>
    </row>
    <row r="13" spans="1:4" x14ac:dyDescent="0.2">
      <c r="A13" s="4" t="s">
        <v>0</v>
      </c>
      <c r="B13" s="5">
        <v>881</v>
      </c>
      <c r="C13" s="12">
        <f>GovByAssemblyDistrict97General[[#This Row],[Part of Rockland County Vote Results]]</f>
        <v>881</v>
      </c>
      <c r="D13" s="14"/>
    </row>
    <row r="14" spans="1:4" x14ac:dyDescent="0.2">
      <c r="A14" s="4" t="s">
        <v>1</v>
      </c>
      <c r="B14" s="5">
        <v>67</v>
      </c>
      <c r="C14" s="12">
        <f>GovByAssemblyDistrict97General[[#This Row],[Part of Rockland County Vote Results]]</f>
        <v>67</v>
      </c>
      <c r="D14" s="14"/>
    </row>
    <row r="15" spans="1:4" x14ac:dyDescent="0.2">
      <c r="A15" s="4" t="s">
        <v>2</v>
      </c>
      <c r="B15" s="5">
        <v>19</v>
      </c>
      <c r="C15" s="12">
        <f>GovByAssemblyDistrict97General[[#This Row],[Part of Rockland County Vote Results]]</f>
        <v>19</v>
      </c>
      <c r="D15" s="14"/>
    </row>
    <row r="16" spans="1:4" hidden="1" x14ac:dyDescent="0.2">
      <c r="A16" s="4" t="s">
        <v>4</v>
      </c>
      <c r="B16" s="6">
        <f>SUBTOTAL(109,GovByAssemblyDistrict97General[Total Votes by Candidate])</f>
        <v>41443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E8272-FD7D-42CC-A2F4-BE56C95D99DB}">
  <dimension ref="A1:E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24.75" customHeight="1" x14ac:dyDescent="0.2">
      <c r="A1" s="1" t="s">
        <v>123</v>
      </c>
    </row>
    <row r="2" spans="1:5" ht="25.5" x14ac:dyDescent="0.2">
      <c r="A2" s="7" t="s">
        <v>12</v>
      </c>
      <c r="B2" s="8" t="s">
        <v>124</v>
      </c>
      <c r="C2" s="8" t="s">
        <v>121</v>
      </c>
      <c r="D2" s="10" t="s">
        <v>228</v>
      </c>
      <c r="E2" s="11" t="s">
        <v>5</v>
      </c>
    </row>
    <row r="3" spans="1:5" x14ac:dyDescent="0.2">
      <c r="A3" s="2" t="s">
        <v>3</v>
      </c>
      <c r="B3" s="3">
        <v>11804</v>
      </c>
      <c r="C3" s="3">
        <v>1630</v>
      </c>
      <c r="D3" s="12">
        <f>SUM(GovByAssemblyDistrict98General[[#This Row],[Part of Orange County Vote Results]:[Part of Rockland County Vote Results]])</f>
        <v>13434</v>
      </c>
      <c r="E3" s="13">
        <f>SUM(D3,D7,D8,D9)</f>
        <v>18216</v>
      </c>
    </row>
    <row r="4" spans="1:5" x14ac:dyDescent="0.2">
      <c r="A4" s="2" t="s">
        <v>14</v>
      </c>
      <c r="B4" s="3">
        <v>15029</v>
      </c>
      <c r="C4" s="3">
        <v>2774</v>
      </c>
      <c r="D4" s="12">
        <f>SUM(GovByAssemblyDistrict98General[[#This Row],[Part of Orange County Vote Results]:[Part of Rockland County Vote Results]])</f>
        <v>17803</v>
      </c>
      <c r="E4" s="13">
        <f>SUM(D4,D5,D10)</f>
        <v>20426</v>
      </c>
    </row>
    <row r="5" spans="1:5" x14ac:dyDescent="0.2">
      <c r="A5" s="2" t="s">
        <v>15</v>
      </c>
      <c r="B5" s="3">
        <v>1905</v>
      </c>
      <c r="C5" s="3">
        <v>374</v>
      </c>
      <c r="D5" s="12">
        <f>SUM(GovByAssemblyDistrict98General[[#This Row],[Part of Orange County Vote Results]:[Part of Rockland County Vote Results]])</f>
        <v>2279</v>
      </c>
      <c r="E5" s="14"/>
    </row>
    <row r="6" spans="1:5" x14ac:dyDescent="0.2">
      <c r="A6" s="2" t="s">
        <v>6</v>
      </c>
      <c r="B6" s="3">
        <v>498</v>
      </c>
      <c r="C6" s="3">
        <v>37</v>
      </c>
      <c r="D6" s="12">
        <f>SUM(GovByAssemblyDistrict98General[[#This Row],[Part of Orange County Vote Results]:[Part of Rockland County Vote Results]])</f>
        <v>535</v>
      </c>
      <c r="E6" s="13">
        <f>GovByAssemblyDistrict98General[[#This Row],[Total Votes by Party]]</f>
        <v>535</v>
      </c>
    </row>
    <row r="7" spans="1:5" x14ac:dyDescent="0.2">
      <c r="A7" s="2" t="s">
        <v>7</v>
      </c>
      <c r="B7" s="3">
        <v>287</v>
      </c>
      <c r="C7" s="3">
        <v>46</v>
      </c>
      <c r="D7" s="12">
        <f>SUM(GovByAssemblyDistrict98General[[#This Row],[Part of Orange County Vote Results]:[Part of Rockland County Vote Results]])</f>
        <v>333</v>
      </c>
      <c r="E7" s="14"/>
    </row>
    <row r="8" spans="1:5" x14ac:dyDescent="0.2">
      <c r="A8" s="2" t="s">
        <v>8</v>
      </c>
      <c r="B8" s="3">
        <v>3986</v>
      </c>
      <c r="C8" s="3">
        <v>212</v>
      </c>
      <c r="D8" s="12">
        <f>SUM(GovByAssemblyDistrict98General[[#This Row],[Part of Orange County Vote Results]:[Part of Rockland County Vote Results]])</f>
        <v>4198</v>
      </c>
      <c r="E8" s="14"/>
    </row>
    <row r="9" spans="1:5" x14ac:dyDescent="0.2">
      <c r="A9" s="2" t="s">
        <v>9</v>
      </c>
      <c r="B9" s="3">
        <v>217</v>
      </c>
      <c r="C9" s="3">
        <v>34</v>
      </c>
      <c r="D9" s="12">
        <f>SUM(GovByAssemblyDistrict98General[[#This Row],[Part of Orange County Vote Results]:[Part of Rockland County Vote Results]])</f>
        <v>251</v>
      </c>
      <c r="E9" s="14"/>
    </row>
    <row r="10" spans="1:5" x14ac:dyDescent="0.2">
      <c r="A10" s="2" t="s">
        <v>16</v>
      </c>
      <c r="B10" s="3">
        <v>277</v>
      </c>
      <c r="C10" s="3">
        <v>67</v>
      </c>
      <c r="D10" s="12">
        <f>SUM(GovByAssemblyDistrict98General[[#This Row],[Part of Orange County Vote Results]:[Part of Rockland County Vote Results]])</f>
        <v>344</v>
      </c>
      <c r="E10" s="14"/>
    </row>
    <row r="11" spans="1:5" x14ac:dyDescent="0.2">
      <c r="A11" s="2" t="s">
        <v>10</v>
      </c>
      <c r="B11" s="3">
        <v>601</v>
      </c>
      <c r="C11" s="3">
        <v>36</v>
      </c>
      <c r="D11" s="12">
        <f>SUM(GovByAssemblyDistrict98General[[#This Row],[Part of Orange County Vote Results]:[Part of Rockland County Vote Results]])</f>
        <v>637</v>
      </c>
      <c r="E11" s="13">
        <f>GovByAssemblyDistrict98General[[#This Row],[Total Votes by Party]]</f>
        <v>637</v>
      </c>
    </row>
    <row r="12" spans="1:5" x14ac:dyDescent="0.2">
      <c r="A12" s="4" t="s">
        <v>11</v>
      </c>
      <c r="B12" s="3">
        <v>233</v>
      </c>
      <c r="C12" s="3">
        <v>102</v>
      </c>
      <c r="D12" s="12">
        <f>SUM(GovByAssemblyDistrict98General[[#This Row],[Part of Orange County Vote Results]:[Part of Rockland County Vote Results]])</f>
        <v>335</v>
      </c>
      <c r="E12" s="13">
        <f>GovByAssemblyDistrict98General[[#This Row],[Total Votes by Party]]</f>
        <v>335</v>
      </c>
    </row>
    <row r="13" spans="1:5" x14ac:dyDescent="0.2">
      <c r="A13" s="4" t="s">
        <v>0</v>
      </c>
      <c r="B13" s="3">
        <v>1046</v>
      </c>
      <c r="C13" s="3">
        <v>812</v>
      </c>
      <c r="D13" s="12">
        <f>SUM(GovByAssemblyDistrict98General[[#This Row],[Part of Orange County Vote Results]:[Part of Rockland County Vote Results]])</f>
        <v>1858</v>
      </c>
      <c r="E13" s="14"/>
    </row>
    <row r="14" spans="1:5" x14ac:dyDescent="0.2">
      <c r="A14" s="4" t="s">
        <v>1</v>
      </c>
      <c r="B14" s="3">
        <v>0</v>
      </c>
      <c r="C14" s="3">
        <v>13</v>
      </c>
      <c r="D14" s="12">
        <f>SUM(GovByAssemblyDistrict98General[[#This Row],[Part of Orange County Vote Results]:[Part of Rockland County Vote Results]])</f>
        <v>13</v>
      </c>
      <c r="E14" s="14"/>
    </row>
    <row r="15" spans="1:5" x14ac:dyDescent="0.2">
      <c r="A15" s="4" t="s">
        <v>2</v>
      </c>
      <c r="B15" s="5">
        <v>25</v>
      </c>
      <c r="C15" s="5">
        <v>9</v>
      </c>
      <c r="D15" s="12">
        <f>SUM(GovByAssemblyDistrict98General[[#This Row],[Part of Orange County Vote Results]:[Part of Rockland County Vote Results]])</f>
        <v>34</v>
      </c>
      <c r="E15" s="14"/>
    </row>
    <row r="16" spans="1:5" hidden="1" x14ac:dyDescent="0.2">
      <c r="A16" s="4" t="s">
        <v>4</v>
      </c>
      <c r="B16" s="6">
        <f>SUBTOTAL(109,GovByAssemblyDistrict98General[Part of Orange County Vote Results])</f>
        <v>35908</v>
      </c>
      <c r="C16" s="6">
        <f>SUBTOTAL(109,GovByAssemblyDistrict98General[Part of Rockland County Vote Results])</f>
        <v>6146</v>
      </c>
      <c r="D16" s="6"/>
      <c r="E16" s="9"/>
    </row>
  </sheetData>
  <pageMargins left="0.7" right="0.7" top="0.75" bottom="0.75" header="0.3" footer="0.3"/>
  <tableParts count="1">
    <tablePart r:id="rId1"/>
  </tableParts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0A937-7BAE-4BD3-95CA-7C7F0898068E}">
  <dimension ref="A1:E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24.75" customHeight="1" x14ac:dyDescent="0.2">
      <c r="A1" s="1" t="s">
        <v>125</v>
      </c>
    </row>
    <row r="2" spans="1:5" ht="25.5" x14ac:dyDescent="0.2">
      <c r="A2" s="7" t="s">
        <v>12</v>
      </c>
      <c r="B2" s="8" t="s">
        <v>124</v>
      </c>
      <c r="C2" s="8" t="s">
        <v>121</v>
      </c>
      <c r="D2" s="10" t="s">
        <v>228</v>
      </c>
      <c r="E2" s="11" t="s">
        <v>5</v>
      </c>
    </row>
    <row r="3" spans="1:5" x14ac:dyDescent="0.2">
      <c r="A3" s="2" t="s">
        <v>3</v>
      </c>
      <c r="B3" s="3">
        <v>16844</v>
      </c>
      <c r="C3" s="3">
        <v>2035</v>
      </c>
      <c r="D3" s="12">
        <f>SUM(GovByAssemblyDistrict99General[[#This Row],[Part of Orange County Vote Results]:[Part of Rockland County Vote Results]])</f>
        <v>18879</v>
      </c>
      <c r="E3" s="13">
        <f>SUM(D3,D7,D8,D9)</f>
        <v>20077</v>
      </c>
    </row>
    <row r="4" spans="1:5" x14ac:dyDescent="0.2">
      <c r="A4" s="2" t="s">
        <v>14</v>
      </c>
      <c r="B4" s="3">
        <v>19666</v>
      </c>
      <c r="C4" s="3">
        <v>3205</v>
      </c>
      <c r="D4" s="12">
        <f>SUM(GovByAssemblyDistrict99General[[#This Row],[Part of Orange County Vote Results]:[Part of Rockland County Vote Results]])</f>
        <v>22871</v>
      </c>
      <c r="E4" s="13">
        <f>SUM(D4,D5,D10)</f>
        <v>26705</v>
      </c>
    </row>
    <row r="5" spans="1:5" x14ac:dyDescent="0.2">
      <c r="A5" s="2" t="s">
        <v>15</v>
      </c>
      <c r="B5" s="3">
        <v>2617</v>
      </c>
      <c r="C5" s="3">
        <v>507</v>
      </c>
      <c r="D5" s="12">
        <f>SUM(GovByAssemblyDistrict99General[[#This Row],[Part of Orange County Vote Results]:[Part of Rockland County Vote Results]])</f>
        <v>3124</v>
      </c>
      <c r="E5" s="14"/>
    </row>
    <row r="6" spans="1:5" x14ac:dyDescent="0.2">
      <c r="A6" s="2" t="s">
        <v>6</v>
      </c>
      <c r="B6" s="3">
        <v>729</v>
      </c>
      <c r="C6" s="3">
        <v>59</v>
      </c>
      <c r="D6" s="12">
        <f>SUM(GovByAssemblyDistrict99General[[#This Row],[Part of Orange County Vote Results]:[Part of Rockland County Vote Results]])</f>
        <v>788</v>
      </c>
      <c r="E6" s="13">
        <f>GovByAssemblyDistrict99General[[#This Row],[Total Votes by Party]]</f>
        <v>788</v>
      </c>
    </row>
    <row r="7" spans="1:5" x14ac:dyDescent="0.2">
      <c r="A7" s="2" t="s">
        <v>7</v>
      </c>
      <c r="B7" s="3">
        <v>399</v>
      </c>
      <c r="C7" s="3">
        <v>70</v>
      </c>
      <c r="D7" s="12">
        <f>SUM(GovByAssemblyDistrict99General[[#This Row],[Part of Orange County Vote Results]:[Part of Rockland County Vote Results]])</f>
        <v>469</v>
      </c>
      <c r="E7" s="14"/>
    </row>
    <row r="8" spans="1:5" x14ac:dyDescent="0.2">
      <c r="A8" s="2" t="s">
        <v>8</v>
      </c>
      <c r="B8" s="3">
        <v>418</v>
      </c>
      <c r="C8" s="3">
        <v>63</v>
      </c>
      <c r="D8" s="12">
        <f>SUM(GovByAssemblyDistrict99General[[#This Row],[Part of Orange County Vote Results]:[Part of Rockland County Vote Results]])</f>
        <v>481</v>
      </c>
      <c r="E8" s="14"/>
    </row>
    <row r="9" spans="1:5" x14ac:dyDescent="0.2">
      <c r="A9" s="2" t="s">
        <v>9</v>
      </c>
      <c r="B9" s="3">
        <v>220</v>
      </c>
      <c r="C9" s="3">
        <v>28</v>
      </c>
      <c r="D9" s="12">
        <f>SUM(GovByAssemblyDistrict99General[[#This Row],[Part of Orange County Vote Results]:[Part of Rockland County Vote Results]])</f>
        <v>248</v>
      </c>
      <c r="E9" s="14"/>
    </row>
    <row r="10" spans="1:5" x14ac:dyDescent="0.2">
      <c r="A10" s="2" t="s">
        <v>16</v>
      </c>
      <c r="B10" s="3">
        <v>614</v>
      </c>
      <c r="C10" s="3">
        <v>96</v>
      </c>
      <c r="D10" s="12">
        <f>SUM(GovByAssemblyDistrict99General[[#This Row],[Part of Orange County Vote Results]:[Part of Rockland County Vote Results]])</f>
        <v>710</v>
      </c>
      <c r="E10" s="14"/>
    </row>
    <row r="11" spans="1:5" x14ac:dyDescent="0.2">
      <c r="A11" s="2" t="s">
        <v>10</v>
      </c>
      <c r="B11" s="3">
        <v>636</v>
      </c>
      <c r="C11" s="3">
        <v>53</v>
      </c>
      <c r="D11" s="12">
        <f>SUM(GovByAssemblyDistrict99General[[#This Row],[Part of Orange County Vote Results]:[Part of Rockland County Vote Results]])</f>
        <v>689</v>
      </c>
      <c r="E11" s="13">
        <f>GovByAssemblyDistrict99General[[#This Row],[Total Votes by Party]]</f>
        <v>689</v>
      </c>
    </row>
    <row r="12" spans="1:5" x14ac:dyDescent="0.2">
      <c r="A12" s="4" t="s">
        <v>11</v>
      </c>
      <c r="B12" s="3">
        <v>417</v>
      </c>
      <c r="C12" s="3">
        <v>38</v>
      </c>
      <c r="D12" s="12">
        <f>SUM(GovByAssemblyDistrict99General[[#This Row],[Part of Orange County Vote Results]:[Part of Rockland County Vote Results]])</f>
        <v>455</v>
      </c>
      <c r="E12" s="13">
        <f>GovByAssemblyDistrict99General[[#This Row],[Total Votes by Party]]</f>
        <v>455</v>
      </c>
    </row>
    <row r="13" spans="1:5" x14ac:dyDescent="0.2">
      <c r="A13" s="4" t="s">
        <v>0</v>
      </c>
      <c r="B13" s="3">
        <v>1139</v>
      </c>
      <c r="C13" s="3">
        <v>93</v>
      </c>
      <c r="D13" s="12">
        <f>SUM(GovByAssemblyDistrict99General[[#This Row],[Part of Orange County Vote Results]:[Part of Rockland County Vote Results]])</f>
        <v>1232</v>
      </c>
      <c r="E13" s="14"/>
    </row>
    <row r="14" spans="1:5" x14ac:dyDescent="0.2">
      <c r="A14" s="4" t="s">
        <v>1</v>
      </c>
      <c r="B14" s="3">
        <v>0</v>
      </c>
      <c r="C14" s="3">
        <v>14</v>
      </c>
      <c r="D14" s="12">
        <f>SUM(GovByAssemblyDistrict99General[[#This Row],[Part of Orange County Vote Results]:[Part of Rockland County Vote Results]])</f>
        <v>14</v>
      </c>
      <c r="E14" s="14"/>
    </row>
    <row r="15" spans="1:5" x14ac:dyDescent="0.2">
      <c r="A15" s="4" t="s">
        <v>2</v>
      </c>
      <c r="B15" s="5">
        <v>40</v>
      </c>
      <c r="C15" s="5">
        <v>2</v>
      </c>
      <c r="D15" s="12">
        <f>SUM(GovByAssemblyDistrict99General[[#This Row],[Part of Orange County Vote Results]:[Part of Rockland County Vote Results]])</f>
        <v>42</v>
      </c>
      <c r="E15" s="14"/>
    </row>
    <row r="16" spans="1:5" hidden="1" x14ac:dyDescent="0.2">
      <c r="A16" s="4" t="s">
        <v>4</v>
      </c>
      <c r="B16" s="6">
        <f>SUBTOTAL(109,GovByAssemblyDistrict99General[Part of Orange County Vote Results])</f>
        <v>43739</v>
      </c>
      <c r="C16" s="6">
        <f>SUBTOTAL(109,GovByAssemblyDistrict99General[Part of Rockland County Vote Results])</f>
        <v>6263</v>
      </c>
      <c r="D16" s="6"/>
      <c r="E16" s="9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150</vt:i4>
      </vt:variant>
      <vt:variant>
        <vt:lpstr>Named Ranges</vt:lpstr>
      </vt:variant>
      <vt:variant>
        <vt:i4>1</vt:i4>
      </vt:variant>
    </vt:vector>
  </HeadingPairs>
  <TitlesOfParts>
    <vt:vector size="151" baseType="lpstr">
      <vt:lpstr>Gov by 1st AD</vt:lpstr>
      <vt:lpstr>Gov by 2nd AD</vt:lpstr>
      <vt:lpstr>Gov by 3rd AD</vt:lpstr>
      <vt:lpstr>Gov by 4th AD</vt:lpstr>
      <vt:lpstr>Gov by 5th AD</vt:lpstr>
      <vt:lpstr>Gov by 6th AD</vt:lpstr>
      <vt:lpstr>Gov by 7th AD</vt:lpstr>
      <vt:lpstr>Gov by 8th AD</vt:lpstr>
      <vt:lpstr>Gov by 9th AD</vt:lpstr>
      <vt:lpstr>Gov by 10th AD</vt:lpstr>
      <vt:lpstr>Gov by 11th AD</vt:lpstr>
      <vt:lpstr>Gov by 12th AD</vt:lpstr>
      <vt:lpstr>Gov by 13th AD</vt:lpstr>
      <vt:lpstr>Gov by 14th AD</vt:lpstr>
      <vt:lpstr>Gov by 15th AD</vt:lpstr>
      <vt:lpstr>Gov by 16th AD</vt:lpstr>
      <vt:lpstr>Gov by 17th AD</vt:lpstr>
      <vt:lpstr>Gov by 18th AD</vt:lpstr>
      <vt:lpstr>Gov by 19th AD</vt:lpstr>
      <vt:lpstr>Gov by 20th AD</vt:lpstr>
      <vt:lpstr>Gov by 21st AD</vt:lpstr>
      <vt:lpstr>Gov by 22nd AD</vt:lpstr>
      <vt:lpstr>Gov by 23rd AD</vt:lpstr>
      <vt:lpstr>Gov by 24th AD</vt:lpstr>
      <vt:lpstr>Gov by 25th AD</vt:lpstr>
      <vt:lpstr>Gov by 26th AD</vt:lpstr>
      <vt:lpstr>Gov by 27th AD</vt:lpstr>
      <vt:lpstr>Gov by 28th AD</vt:lpstr>
      <vt:lpstr>Gov by 29th AD</vt:lpstr>
      <vt:lpstr>Gov by 30th AD</vt:lpstr>
      <vt:lpstr>Gov by 31st AD</vt:lpstr>
      <vt:lpstr>Gov by 32nd AD</vt:lpstr>
      <vt:lpstr>Gov by 33rd AD</vt:lpstr>
      <vt:lpstr>Gov by 34th AD</vt:lpstr>
      <vt:lpstr>Gov by 35th AD</vt:lpstr>
      <vt:lpstr>Gov by 36th AD</vt:lpstr>
      <vt:lpstr>Gov by 37th AD</vt:lpstr>
      <vt:lpstr>Gov by 38th AD</vt:lpstr>
      <vt:lpstr>Gov by 39th AD</vt:lpstr>
      <vt:lpstr>Gov by 40th AD</vt:lpstr>
      <vt:lpstr>Gov by 41st AD</vt:lpstr>
      <vt:lpstr>Gov by 42nd AD</vt:lpstr>
      <vt:lpstr>Gov by 43rd AD</vt:lpstr>
      <vt:lpstr>Gov by 44th AD</vt:lpstr>
      <vt:lpstr>Gov by 45th AD</vt:lpstr>
      <vt:lpstr>Gov by 46th AD</vt:lpstr>
      <vt:lpstr>Gov by 47th AD</vt:lpstr>
      <vt:lpstr>Gov by 48th AD</vt:lpstr>
      <vt:lpstr>Gov by 49th AD</vt:lpstr>
      <vt:lpstr>Gov by 50th AD</vt:lpstr>
      <vt:lpstr>Gov by 51st AD</vt:lpstr>
      <vt:lpstr>Gov by 52nd AD</vt:lpstr>
      <vt:lpstr>Gov by 53rd AD</vt:lpstr>
      <vt:lpstr>Gov by 54th AD</vt:lpstr>
      <vt:lpstr>Gov by 55th AD</vt:lpstr>
      <vt:lpstr>Gov by 56th AD</vt:lpstr>
      <vt:lpstr>Gov by 57th AD</vt:lpstr>
      <vt:lpstr>Gov by 58th AD</vt:lpstr>
      <vt:lpstr>Gov bt 59th AD</vt:lpstr>
      <vt:lpstr>Gov by 60th AD</vt:lpstr>
      <vt:lpstr>Gov by 61st AD</vt:lpstr>
      <vt:lpstr>Gov by 62nd AD</vt:lpstr>
      <vt:lpstr>Gov by 63rd AD</vt:lpstr>
      <vt:lpstr>Gov by 64th AD</vt:lpstr>
      <vt:lpstr>Gov by 65th AD</vt:lpstr>
      <vt:lpstr>Gov by 66th AD</vt:lpstr>
      <vt:lpstr>Gov by 67th AD</vt:lpstr>
      <vt:lpstr>Gov by 68th AD</vt:lpstr>
      <vt:lpstr>Gov by 69th AD</vt:lpstr>
      <vt:lpstr>Gov by 70th AD</vt:lpstr>
      <vt:lpstr>Gov by 71st AD</vt:lpstr>
      <vt:lpstr>Gov by 72nd AD</vt:lpstr>
      <vt:lpstr>Gov by 73rd AD</vt:lpstr>
      <vt:lpstr>Gov by 74th AD</vt:lpstr>
      <vt:lpstr>Gov by 75th AD</vt:lpstr>
      <vt:lpstr>Gov by 76th AD</vt:lpstr>
      <vt:lpstr>Gov by 77th AD</vt:lpstr>
      <vt:lpstr>Gov by 78th AD</vt:lpstr>
      <vt:lpstr>Gov by 79th AD</vt:lpstr>
      <vt:lpstr>Gov by 80th AD</vt:lpstr>
      <vt:lpstr>Gov by 81st AD</vt:lpstr>
      <vt:lpstr>Gov by 82nd AD</vt:lpstr>
      <vt:lpstr>Gov by 83rd AD</vt:lpstr>
      <vt:lpstr>Gov by 84th AD</vt:lpstr>
      <vt:lpstr>Gov by 85th AD</vt:lpstr>
      <vt:lpstr>Gov by 86th AD</vt:lpstr>
      <vt:lpstr>Gov by 87th AD</vt:lpstr>
      <vt:lpstr>Gov by 88th AD</vt:lpstr>
      <vt:lpstr>Gov by 89th AD</vt:lpstr>
      <vt:lpstr>Gov by 90th AD</vt:lpstr>
      <vt:lpstr>Gov by 91st AD</vt:lpstr>
      <vt:lpstr>Gov by 92nd AD</vt:lpstr>
      <vt:lpstr>Gov by 93rd AD</vt:lpstr>
      <vt:lpstr>Gov by 94th AD</vt:lpstr>
      <vt:lpstr>Gov by 95th AD</vt:lpstr>
      <vt:lpstr>Gov by 96th AD</vt:lpstr>
      <vt:lpstr>Gov by 97th AD</vt:lpstr>
      <vt:lpstr>Gov by 98th AD</vt:lpstr>
      <vt:lpstr>Gov by 99th AD</vt:lpstr>
      <vt:lpstr>Gov by 100th AD</vt:lpstr>
      <vt:lpstr>Gov by 101st AD</vt:lpstr>
      <vt:lpstr>Gov by 102nd AD</vt:lpstr>
      <vt:lpstr>Gov by 103rd AD</vt:lpstr>
      <vt:lpstr>Gov by 104th AD</vt:lpstr>
      <vt:lpstr>Gov by 105th AD</vt:lpstr>
      <vt:lpstr>Gov by 106th AD</vt:lpstr>
      <vt:lpstr>Gov by 107th AD</vt:lpstr>
      <vt:lpstr>Gov by 108th AD</vt:lpstr>
      <vt:lpstr>Gov by 109th AD</vt:lpstr>
      <vt:lpstr>Gov by 110th AD</vt:lpstr>
      <vt:lpstr>Gov by 111th AD</vt:lpstr>
      <vt:lpstr>Gov by 112th AD</vt:lpstr>
      <vt:lpstr>Gov by 113th AD</vt:lpstr>
      <vt:lpstr>Gov by 114th AD</vt:lpstr>
      <vt:lpstr>Gov by 115th AD</vt:lpstr>
      <vt:lpstr>Gov by 116th AD</vt:lpstr>
      <vt:lpstr>Gov by 117th AD</vt:lpstr>
      <vt:lpstr>Gov by 118th AD</vt:lpstr>
      <vt:lpstr>Gov by 119th AD</vt:lpstr>
      <vt:lpstr>Gov by 120th AD</vt:lpstr>
      <vt:lpstr>Gov by 121st AD</vt:lpstr>
      <vt:lpstr>Gov by 122nd AD</vt:lpstr>
      <vt:lpstr>Gov by 123rd AD</vt:lpstr>
      <vt:lpstr>Gov by 124th AD</vt:lpstr>
      <vt:lpstr>Gov by 125th AD</vt:lpstr>
      <vt:lpstr>Gov by 126th AD</vt:lpstr>
      <vt:lpstr>Gov by 127th AD</vt:lpstr>
      <vt:lpstr>Gov by 128th AD</vt:lpstr>
      <vt:lpstr>Gov by 129th AD</vt:lpstr>
      <vt:lpstr>Gov by 130th AD</vt:lpstr>
      <vt:lpstr>Gov by 131st AD</vt:lpstr>
      <vt:lpstr>Gov by 132nd AD</vt:lpstr>
      <vt:lpstr>Gov by 133rd AD</vt:lpstr>
      <vt:lpstr>Gov by 134th AD</vt:lpstr>
      <vt:lpstr>Gov by 135th AD</vt:lpstr>
      <vt:lpstr>Gov by 136th AD</vt:lpstr>
      <vt:lpstr>Gov by 137th AD</vt:lpstr>
      <vt:lpstr>Gov by 138th AD</vt:lpstr>
      <vt:lpstr>Gov by 139th AD</vt:lpstr>
      <vt:lpstr>Gov by 140th AD</vt:lpstr>
      <vt:lpstr>Gov by 141st AD</vt:lpstr>
      <vt:lpstr>Gov by 142nd AD</vt:lpstr>
      <vt:lpstr>Gov by 143rd AD</vt:lpstr>
      <vt:lpstr>Gov by 144th AD</vt:lpstr>
      <vt:lpstr>Gov by 145th AD</vt:lpstr>
      <vt:lpstr>Gov by 146th AD</vt:lpstr>
      <vt:lpstr>Gov by 147th AD</vt:lpstr>
      <vt:lpstr>Gov by 148th AD</vt:lpstr>
      <vt:lpstr>Gov by 149th AD</vt:lpstr>
      <vt:lpstr>Gov by 150th AD</vt:lpstr>
      <vt:lpstr>'Gov by 1st AD'!Print_Area</vt:lpstr>
    </vt:vector>
  </TitlesOfParts>
  <Company>NYSBOE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pjorczak</dc:creator>
  <cp:lastModifiedBy>Thomas Connolly</cp:lastModifiedBy>
  <cp:lastPrinted>2018-12-13T16:58:27Z</cp:lastPrinted>
  <dcterms:created xsi:type="dcterms:W3CDTF">2008-10-28T18:22:21Z</dcterms:created>
  <dcterms:modified xsi:type="dcterms:W3CDTF">2019-01-14T21:13:16Z</dcterms:modified>
</cp:coreProperties>
</file>